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mc:AlternateContent xmlns:mc="http://schemas.openxmlformats.org/markup-compatibility/2006">
    <mc:Choice Requires="x15">
      <x15ac:absPath xmlns:x15ac="http://schemas.microsoft.com/office/spreadsheetml/2010/11/ac" url="\\F-nwc04fs01.intra.pref.yamaguchi.lg.jp\00000_山口県\05060_長寿社会課\060_介護保険班\19_処遇改善（加算・補助金等）\処遇改善加算・特定処遇改善加算\共通\04 HP掲載・修正\R6.3②　R6年度計画書\掲載用\04 記入例\20270327差替\"/>
    </mc:Choice>
  </mc:AlternateContent>
  <xr:revisionPtr revIDLastSave="0" documentId="13_ncr:1_{A91A853B-9A4E-4D45-9683-04E36FFBCF30}" xr6:coauthVersionLast="36" xr6:coauthVersionMax="47" xr10:uidLastSave="{00000000-0000-0000-0000-000000000000}"/>
  <bookViews>
    <workbookView xWindow="0" yWindow="0" windowWidth="28800" windowHeight="12135"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l="1"/>
  <c r="L49" i="46"/>
  <c r="L49" i="45"/>
  <c r="L49" i="44"/>
  <c r="L49" i="43"/>
  <c r="L49" i="42"/>
  <c r="G49" i="41" l="1"/>
  <c r="L49" i="41"/>
  <c r="L49" i="40"/>
  <c r="L49" i="39"/>
  <c r="L49"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50" i="39"/>
  <c r="G49"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50" i="41"/>
  <c r="AS48" i="41"/>
  <c r="BE48" i="41" s="1"/>
  <c r="AC49" i="41" s="1"/>
  <c r="AC50" i="41" s="1"/>
  <c r="AW59" i="41"/>
  <c r="CI10" i="41"/>
  <c r="AS63" i="41"/>
  <c r="AS44" i="41" s="1"/>
  <c r="CI6" i="41"/>
  <c r="AS61" i="41"/>
  <c r="AS36" i="41" s="1"/>
  <c r="AS59" i="41"/>
  <c r="CI7" i="41"/>
  <c r="CI9" i="41"/>
  <c r="AS62" i="41"/>
  <c r="AS40" i="41" s="1"/>
  <c r="CI3" i="41"/>
  <c r="Q50" i="41"/>
  <c r="BV51" i="41"/>
  <c r="AW60" i="41"/>
  <c r="AS60"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50" i="38" l="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50" i="12"/>
  <c r="AW51" i="12" s="1"/>
  <c r="CI7" i="12"/>
  <c r="S143" i="18" s="1"/>
  <c r="AK225" i="18" s="1"/>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CI4" i="12"/>
  <c r="AS24" i="12"/>
  <c r="BE48" i="12"/>
  <c r="AC49" i="12" s="1"/>
  <c r="Q51" i="12"/>
  <c r="Q52" i="12" s="1"/>
  <c r="L51" i="12"/>
  <c r="S118" i="18" l="1"/>
  <c r="AK125" i="18" s="1"/>
  <c r="AI95" i="18"/>
  <c r="AI93" i="18"/>
  <c r="AM129" i="18"/>
  <c r="AK134" i="18" s="1"/>
  <c r="AK224" i="18" s="1"/>
  <c r="V50" i="12"/>
  <c r="G51" i="12"/>
  <c r="V51" i="12" s="1"/>
  <c r="L52" i="12"/>
  <c r="AC50" i="12"/>
  <c r="BE51" i="12" s="1"/>
  <c r="AK223" i="18" l="1"/>
  <c r="T106" i="18"/>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<sst xmlns="http://schemas.openxmlformats.org/spreadsheetml/2006/main" count="6878" uniqueCount="2437">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</sst>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30"/>
              <a:ext cx="304800" cy="714368"/>
              <a:chOff x="4479758" y="4496302"/>
              <a:chExt cx="301792" cy="780031"/>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2"/>
              <a:ext cx="304800" cy="698098"/>
              <a:chOff x="4549825" y="5456606"/>
              <a:chExt cx="308371" cy="762902"/>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5"/>
              <a:ext cx="304800" cy="371461"/>
              <a:chOff x="5763126" y="8931914"/>
              <a:chExt cx="301792" cy="494788"/>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4"/>
              <a:chOff x="4549825" y="6438937"/>
              <a:chExt cx="308371" cy="779258"/>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0" y="8154126"/>
              <a:ext cx="220581" cy="694591"/>
              <a:chOff x="5767610" y="8168784"/>
              <a:chExt cx="217590" cy="792431"/>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61"/>
              <a:ext cx="200248" cy="744730"/>
              <a:chOff x="4538984" y="8166072"/>
              <a:chExt cx="208607" cy="749771"/>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60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9"/>
              <a:ext cx="304800" cy="400042"/>
              <a:chOff x="4501773" y="3772595"/>
              <a:chExt cx="303832" cy="48685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6"/>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8"/>
              <a:ext cx="304800" cy="714375"/>
              <a:chOff x="4479758" y="4496295"/>
              <a:chExt cx="301792" cy="780067"/>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5"/>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4"/>
              <a:ext cx="304800" cy="698093"/>
              <a:chOff x="4549825" y="5456621"/>
              <a:chExt cx="308371" cy="762875"/>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20"/>
              <a:ext cx="304800" cy="371476"/>
              <a:chOff x="5763126" y="8931956"/>
              <a:chExt cx="301792" cy="494773"/>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5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85" y="8154128"/>
              <a:ext cx="220588" cy="694572"/>
              <a:chOff x="5767492" y="8168782"/>
              <a:chExt cx="217624" cy="792523"/>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9" y="8168782"/>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22"/>
              <a:chOff x="4539043" y="8166013"/>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83" y="8166013"/>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43" y="8640728"/>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62"/>
              <a:ext cx="207416" cy="718651"/>
              <a:chOff x="5898926" y="7305238"/>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6" y="7305238"/>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1" y="7775526"/>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41"/>
              <a:chExt cx="303832" cy="486919"/>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4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5"/>
              <a:chExt cx="301792" cy="780095"/>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7"/>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65"/>
              <a:chExt cx="301792" cy="49479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65"/>
                <a:ext cx="301792" cy="23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78"/>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0"/>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5" y="8168761"/>
              <a:chExt cx="217586"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8" y="8168761"/>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5" y="872307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3" y="8166025"/>
              <a:chExt cx="208649" cy="749803"/>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3" y="816602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3" y="864071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30"/>
              <a:ext cx="304800" cy="714368"/>
              <a:chOff x="4479758" y="4496302"/>
              <a:chExt cx="301792" cy="780031"/>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2"/>
              <a:ext cx="304800" cy="698098"/>
              <a:chOff x="4549825" y="5456606"/>
              <a:chExt cx="308371" cy="762902"/>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5"/>
              <a:ext cx="304800" cy="371461"/>
              <a:chOff x="5763126" y="8931914"/>
              <a:chExt cx="301792" cy="494788"/>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4"/>
              <a:chOff x="4549825" y="6438937"/>
              <a:chExt cx="308371" cy="77925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0" y="8154126"/>
              <a:ext cx="220581" cy="694591"/>
              <a:chOff x="5767610" y="8168784"/>
              <a:chExt cx="217590" cy="792431"/>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61"/>
              <a:ext cx="200248" cy="744730"/>
              <a:chOff x="4538984" y="8166072"/>
              <a:chExt cx="208607" cy="749771"/>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60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30"/>
              <a:ext cx="304800" cy="714368"/>
              <a:chOff x="4479758" y="4496302"/>
              <a:chExt cx="301792" cy="780031"/>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2"/>
              <a:ext cx="304800" cy="698098"/>
              <a:chOff x="4549825" y="5456606"/>
              <a:chExt cx="308371" cy="762902"/>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5"/>
              <a:ext cx="304800" cy="371461"/>
              <a:chOff x="5763126" y="8931914"/>
              <a:chExt cx="301792" cy="494788"/>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4"/>
              <a:chOff x="4549825" y="6438937"/>
              <a:chExt cx="308371" cy="77925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0" y="8154126"/>
              <a:ext cx="220581" cy="694591"/>
              <a:chOff x="5767610" y="8168784"/>
              <a:chExt cx="217590" cy="792431"/>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61"/>
              <a:ext cx="200248" cy="744730"/>
              <a:chOff x="4538984" y="8166072"/>
              <a:chExt cx="208607" cy="749771"/>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60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30"/>
              <a:ext cx="304800" cy="714368"/>
              <a:chOff x="4479758" y="4496302"/>
              <a:chExt cx="301792" cy="780031"/>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2"/>
              <a:ext cx="304800" cy="698098"/>
              <a:chOff x="4549825" y="5456606"/>
              <a:chExt cx="308371" cy="762902"/>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5"/>
              <a:ext cx="304800" cy="371461"/>
              <a:chOff x="5763126" y="8931914"/>
              <a:chExt cx="301792" cy="494788"/>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4"/>
              <a:chOff x="4549825" y="6438937"/>
              <a:chExt cx="308371" cy="779258"/>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0" y="8154126"/>
              <a:ext cx="220581" cy="694591"/>
              <a:chOff x="5767610" y="8168784"/>
              <a:chExt cx="217590" cy="792431"/>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61"/>
              <a:ext cx="200248" cy="744730"/>
              <a:chOff x="4538984" y="8166072"/>
              <a:chExt cx="208607" cy="749771"/>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60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30"/>
              <a:ext cx="304800" cy="714368"/>
              <a:chOff x="4479758" y="4496302"/>
              <a:chExt cx="301792" cy="780031"/>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2"/>
              <a:ext cx="304800" cy="698098"/>
              <a:chOff x="4549825" y="5456606"/>
              <a:chExt cx="308371" cy="762902"/>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5"/>
              <a:ext cx="304800" cy="371461"/>
              <a:chOff x="5763126" y="8931914"/>
              <a:chExt cx="301792" cy="494788"/>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4"/>
              <a:chOff x="4549825" y="6438937"/>
              <a:chExt cx="308371" cy="779258"/>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0" y="8154126"/>
              <a:ext cx="220581" cy="694591"/>
              <a:chOff x="5767610" y="8168784"/>
              <a:chExt cx="217590" cy="792431"/>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61"/>
              <a:ext cx="200248" cy="744730"/>
              <a:chOff x="4538984" y="8166072"/>
              <a:chExt cx="208607" cy="749771"/>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60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30"/>
              <a:ext cx="304800" cy="714368"/>
              <a:chOff x="4479758" y="4496302"/>
              <a:chExt cx="301792" cy="780031"/>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2"/>
              <a:ext cx="304800" cy="698098"/>
              <a:chOff x="4549825" y="5456606"/>
              <a:chExt cx="308371" cy="762902"/>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5"/>
              <a:ext cx="304800" cy="371461"/>
              <a:chOff x="5763126" y="8931914"/>
              <a:chExt cx="301792" cy="494788"/>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4"/>
              <a:chOff x="4549825" y="6438937"/>
              <a:chExt cx="308371" cy="779258"/>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0" y="8154126"/>
              <a:ext cx="220581" cy="694591"/>
              <a:chOff x="5767610" y="8168784"/>
              <a:chExt cx="217590" cy="792431"/>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61"/>
              <a:ext cx="200248" cy="744730"/>
              <a:chOff x="4538984" y="8166072"/>
              <a:chExt cx="208607" cy="749771"/>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60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30"/>
              <a:ext cx="304800" cy="714368"/>
              <a:chOff x="4479758" y="4496302"/>
              <a:chExt cx="301792" cy="780031"/>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2"/>
              <a:ext cx="304800" cy="698098"/>
              <a:chOff x="4549825" y="5456606"/>
              <a:chExt cx="308371" cy="762902"/>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5"/>
              <a:ext cx="304800" cy="371461"/>
              <a:chOff x="5763126" y="8931914"/>
              <a:chExt cx="301792" cy="494788"/>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4"/>
              <a:chOff x="4549825" y="6438937"/>
              <a:chExt cx="308371" cy="779258"/>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0" y="8154126"/>
              <a:ext cx="220581" cy="694591"/>
              <a:chOff x="5767610" y="8168784"/>
              <a:chExt cx="217590" cy="792431"/>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61"/>
              <a:ext cx="200248" cy="744730"/>
              <a:chOff x="4538984" y="8166072"/>
              <a:chExt cx="208607" cy="749771"/>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60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30"/>
              <a:ext cx="304800" cy="714368"/>
              <a:chOff x="4479758" y="4496302"/>
              <a:chExt cx="301792" cy="780031"/>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2"/>
              <a:ext cx="304800" cy="698098"/>
              <a:chOff x="4549825" y="5456606"/>
              <a:chExt cx="308371" cy="762902"/>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5"/>
              <a:ext cx="304800" cy="371461"/>
              <a:chOff x="5763126" y="8931914"/>
              <a:chExt cx="301792" cy="494788"/>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4"/>
              <a:chOff x="4549825" y="6438937"/>
              <a:chExt cx="308371" cy="779258"/>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0" y="8154126"/>
              <a:ext cx="220581" cy="694591"/>
              <a:chOff x="5767610" y="8168784"/>
              <a:chExt cx="217590" cy="792431"/>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61"/>
              <a:ext cx="200248" cy="744730"/>
              <a:chOff x="4538984" y="8166072"/>
              <a:chExt cx="208607" cy="749771"/>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60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election activeCell="AD1" sqref="AD1:AK1"/>
    </sheetView>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943" t="s">
        <v>29</v>
      </c>
      <c r="AA1" s="943"/>
      <c r="AB1" s="943"/>
      <c r="AC1" s="943"/>
      <c r="AD1" s="944" t="s">
        <v>2266</v>
      </c>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30</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23</v>
      </c>
      <c r="C6" s="947"/>
      <c r="D6" s="947"/>
      <c r="E6" s="947"/>
      <c r="F6" s="947"/>
      <c r="G6" s="948"/>
      <c r="H6" s="539" t="s">
        <v>2376</v>
      </c>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22</v>
      </c>
      <c r="C7" s="950"/>
      <c r="D7" s="950"/>
      <c r="E7" s="950"/>
      <c r="F7" s="950"/>
      <c r="G7" s="951"/>
      <c r="H7" s="952" t="s">
        <v>2376</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2166</v>
      </c>
      <c r="C8" s="969"/>
      <c r="D8" s="969"/>
      <c r="E8" s="969"/>
      <c r="F8" s="969"/>
      <c r="G8" s="970"/>
      <c r="H8" s="267" t="s">
        <v>2377</v>
      </c>
      <c r="I8" s="537">
        <v>100</v>
      </c>
      <c r="J8" s="537"/>
      <c r="K8" s="268" t="s">
        <v>2385</v>
      </c>
      <c r="L8" s="537">
        <v>1234</v>
      </c>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t="s">
        <v>2378</v>
      </c>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t="s">
        <v>2379</v>
      </c>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23</v>
      </c>
      <c r="C11" s="976"/>
      <c r="D11" s="976"/>
      <c r="E11" s="976"/>
      <c r="F11" s="976"/>
      <c r="G11" s="977"/>
      <c r="H11" s="539" t="s">
        <v>2380</v>
      </c>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2167</v>
      </c>
      <c r="C12" s="957"/>
      <c r="D12" s="957"/>
      <c r="E12" s="957"/>
      <c r="F12" s="957"/>
      <c r="G12" s="958"/>
      <c r="H12" s="959" t="s">
        <v>2381</v>
      </c>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2168</v>
      </c>
      <c r="C13" s="961"/>
      <c r="D13" s="961"/>
      <c r="E13" s="961"/>
      <c r="F13" s="961"/>
      <c r="G13" s="961"/>
      <c r="H13" s="962" t="s">
        <v>28</v>
      </c>
      <c r="I13" s="961"/>
      <c r="J13" s="961"/>
      <c r="K13" s="961"/>
      <c r="L13" s="963" t="s">
        <v>2382</v>
      </c>
      <c r="M13" s="964"/>
      <c r="N13" s="964"/>
      <c r="O13" s="964"/>
      <c r="P13" s="964"/>
      <c r="Q13" s="964"/>
      <c r="R13" s="964"/>
      <c r="S13" s="964"/>
      <c r="T13" s="964"/>
      <c r="U13" s="965"/>
      <c r="V13" s="966" t="s">
        <v>2383</v>
      </c>
      <c r="W13" s="967"/>
      <c r="X13" s="967"/>
      <c r="Y13" s="962"/>
      <c r="Z13" s="963" t="s">
        <v>2384</v>
      </c>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35</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37</v>
      </c>
      <c r="C18" s="545" t="s">
        <v>38</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13860620</v>
      </c>
      <c r="R18" s="547"/>
      <c r="S18" s="547"/>
      <c r="T18" s="547"/>
      <c r="U18" s="547"/>
      <c r="V18" s="548"/>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44" t="s">
        <v>40</v>
      </c>
      <c r="E19" s="544"/>
      <c r="F19" s="544"/>
      <c r="G19" s="544"/>
      <c r="H19" s="544"/>
      <c r="I19" s="544"/>
      <c r="J19" s="544"/>
      <c r="K19" s="544"/>
      <c r="L19" s="544"/>
      <c r="M19" s="544"/>
      <c r="N19" s="544"/>
      <c r="O19" s="544"/>
      <c r="P19" s="561"/>
      <c r="Q19" s="546">
        <f>SUM('別紙様式6-2 事業所個票１:事業所個票10'!BI51)</f>
        <v>5292094</v>
      </c>
      <c r="R19" s="547"/>
      <c r="S19" s="547"/>
      <c r="T19" s="547"/>
      <c r="U19" s="547"/>
      <c r="V19" s="548"/>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44" t="s">
        <v>42</v>
      </c>
      <c r="F20" s="544"/>
      <c r="G20" s="544"/>
      <c r="H20" s="544"/>
      <c r="I20" s="544"/>
      <c r="J20" s="544"/>
      <c r="K20" s="544"/>
      <c r="L20" s="544"/>
      <c r="M20" s="544"/>
      <c r="N20" s="544"/>
      <c r="O20" s="544"/>
      <c r="P20" s="562"/>
      <c r="Q20" s="554">
        <v>2200000</v>
      </c>
      <c r="R20" s="555"/>
      <c r="S20" s="555"/>
      <c r="T20" s="555"/>
      <c r="U20" s="555"/>
      <c r="V20" s="556"/>
      <c r="W20" s="283" t="s">
        <v>36</v>
      </c>
      <c r="X20" s="172" t="s">
        <v>43</v>
      </c>
      <c r="Y20" s="284" t="str">
        <f>IF(Q20&gt;Q19,"×","")</f>
        <v/>
      </c>
      <c r="Z20" s="256"/>
      <c r="AA20" s="256"/>
      <c r="AB20" s="256"/>
      <c r="AC20" s="256"/>
      <c r="AD20" s="256"/>
      <c r="AE20" s="256"/>
      <c r="AF20" s="256"/>
      <c r="AG20" s="256"/>
      <c r="AH20" s="256"/>
      <c r="AI20" s="256"/>
      <c r="AJ20" s="256"/>
      <c r="AK20" s="256"/>
      <c r="AL20" s="256"/>
      <c r="AM20" s="541" t="s">
        <v>2226</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44</v>
      </c>
      <c r="C21" s="544" t="s">
        <v>2227</v>
      </c>
      <c r="D21" s="545"/>
      <c r="E21" s="545"/>
      <c r="F21" s="545"/>
      <c r="G21" s="545"/>
      <c r="H21" s="545"/>
      <c r="I21" s="545"/>
      <c r="J21" s="545"/>
      <c r="K21" s="545"/>
      <c r="L21" s="545"/>
      <c r="M21" s="545"/>
      <c r="N21" s="545"/>
      <c r="O21" s="545"/>
      <c r="P21" s="545"/>
      <c r="Q21" s="546">
        <f>Q18-Q20</f>
        <v>11660620</v>
      </c>
      <c r="R21" s="547"/>
      <c r="S21" s="547"/>
      <c r="T21" s="547"/>
      <c r="U21" s="547"/>
      <c r="V21" s="548"/>
      <c r="W21" s="286" t="s">
        <v>36</v>
      </c>
      <c r="X21" s="172" t="s">
        <v>43</v>
      </c>
      <c r="Y21" s="549" t="str">
        <f>IFERROR(IF(Q22&gt;=Q21,"○","×"),"")</f>
        <v>×</v>
      </c>
      <c r="Z21" s="256"/>
      <c r="AA21" s="256"/>
      <c r="AB21" s="256"/>
      <c r="AC21" s="256"/>
      <c r="AD21" s="256"/>
      <c r="AE21" s="256"/>
      <c r="AF21" s="256"/>
      <c r="AG21" s="256"/>
      <c r="AH21" s="256"/>
      <c r="AI21" s="256"/>
      <c r="AJ21" s="256"/>
      <c r="AK21" s="256"/>
      <c r="AL21" s="256"/>
      <c r="AM21" s="551" t="s">
        <v>2329</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45</v>
      </c>
      <c r="C22" s="544" t="s">
        <v>46</v>
      </c>
      <c r="D22" s="544"/>
      <c r="E22" s="544"/>
      <c r="F22" s="544"/>
      <c r="G22" s="544"/>
      <c r="H22" s="544"/>
      <c r="I22" s="544"/>
      <c r="J22" s="544"/>
      <c r="K22" s="544"/>
      <c r="L22" s="544"/>
      <c r="M22" s="544"/>
      <c r="N22" s="544"/>
      <c r="O22" s="544"/>
      <c r="P22" s="544"/>
      <c r="Q22" s="554">
        <v>11000000</v>
      </c>
      <c r="R22" s="555"/>
      <c r="S22" s="555"/>
      <c r="T22" s="555"/>
      <c r="U22" s="555"/>
      <c r="V22" s="556"/>
      <c r="W22" s="287" t="s">
        <v>36</v>
      </c>
      <c r="X22" s="172" t="s">
        <v>43</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47</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44" t="s">
        <v>2228</v>
      </c>
      <c r="D25" s="544"/>
      <c r="E25" s="544"/>
      <c r="F25" s="544"/>
      <c r="G25" s="544"/>
      <c r="H25" s="544"/>
      <c r="I25" s="544"/>
      <c r="J25" s="544"/>
      <c r="K25" s="544"/>
      <c r="L25" s="544"/>
      <c r="M25" s="544"/>
      <c r="N25" s="544"/>
      <c r="O25" s="544"/>
      <c r="P25" s="561"/>
      <c r="Q25" s="940">
        <f>Q19-Q20</f>
        <v>3092094</v>
      </c>
      <c r="R25" s="941"/>
      <c r="S25" s="941"/>
      <c r="T25" s="941"/>
      <c r="U25" s="941"/>
      <c r="V25" s="941"/>
      <c r="W25" s="277" t="s">
        <v>36</v>
      </c>
      <c r="X25" s="172" t="s">
        <v>43</v>
      </c>
      <c r="Y25" s="705" t="str">
        <f>IFERROR(IF(Q25&lt;=0,"",IF(Q26&gt;=Q25,"○","△")),"")</f>
        <v>△</v>
      </c>
      <c r="Z25" s="172" t="s">
        <v>43</v>
      </c>
      <c r="AA25" s="549" t="str">
        <f>IFERROR(IF(Y25="△",IF(Q28&gt;=Q25,"○","×"),""),"")</f>
        <v>○</v>
      </c>
      <c r="AB25" s="256"/>
      <c r="AC25" s="256"/>
      <c r="AD25" s="256"/>
      <c r="AE25" s="256"/>
      <c r="AF25" s="256"/>
      <c r="AG25" s="256"/>
      <c r="AH25" s="256"/>
      <c r="AI25" s="256"/>
      <c r="AJ25" s="256"/>
      <c r="AK25" s="256"/>
      <c r="AL25" s="256"/>
    </row>
    <row r="26" spans="1:55" ht="37.5" customHeight="1" thickBot="1">
      <c r="A26" s="256"/>
      <c r="B26" s="285" t="s">
        <v>49</v>
      </c>
      <c r="C26" s="544" t="s">
        <v>2330</v>
      </c>
      <c r="D26" s="544"/>
      <c r="E26" s="544"/>
      <c r="F26" s="544"/>
      <c r="G26" s="544"/>
      <c r="H26" s="544"/>
      <c r="I26" s="544"/>
      <c r="J26" s="544"/>
      <c r="K26" s="544"/>
      <c r="L26" s="544"/>
      <c r="M26" s="544"/>
      <c r="N26" s="544"/>
      <c r="O26" s="544"/>
      <c r="P26" s="561"/>
      <c r="Q26" s="554">
        <v>2300000</v>
      </c>
      <c r="R26" s="555"/>
      <c r="S26" s="555"/>
      <c r="T26" s="555"/>
      <c r="U26" s="555"/>
      <c r="V26" s="556"/>
      <c r="W26" s="277" t="s">
        <v>36</v>
      </c>
      <c r="X26" s="172" t="s">
        <v>43</v>
      </c>
      <c r="Y26" s="706"/>
      <c r="Z26" s="172"/>
      <c r="AA26" s="942"/>
      <c r="AB26" s="256"/>
      <c r="AC26" s="256"/>
      <c r="AD26" s="256"/>
      <c r="AE26" s="256"/>
      <c r="AF26" s="256"/>
      <c r="AG26" s="256"/>
      <c r="AH26" s="256"/>
      <c r="AI26" s="256"/>
      <c r="AJ26" s="256"/>
      <c r="AK26" s="256"/>
      <c r="AL26" s="256"/>
    </row>
    <row r="27" spans="1:55" ht="26.25" customHeight="1" thickBot="1">
      <c r="A27" s="256"/>
      <c r="B27" s="285" t="s">
        <v>50</v>
      </c>
      <c r="C27" s="544" t="s">
        <v>2229</v>
      </c>
      <c r="D27" s="544"/>
      <c r="E27" s="544"/>
      <c r="F27" s="544"/>
      <c r="G27" s="544"/>
      <c r="H27" s="544"/>
      <c r="I27" s="544"/>
      <c r="J27" s="544"/>
      <c r="K27" s="544"/>
      <c r="L27" s="544"/>
      <c r="M27" s="544"/>
      <c r="N27" s="544"/>
      <c r="O27" s="544"/>
      <c r="P27" s="561"/>
      <c r="Q27" s="554">
        <v>1600000</v>
      </c>
      <c r="R27" s="555"/>
      <c r="S27" s="555"/>
      <c r="T27" s="555"/>
      <c r="U27" s="555"/>
      <c r="V27" s="556"/>
      <c r="W27" s="277" t="s">
        <v>36</v>
      </c>
      <c r="X27" s="172"/>
      <c r="Y27" s="172"/>
      <c r="Z27" s="172"/>
      <c r="AA27" s="942"/>
      <c r="AB27" s="256"/>
      <c r="AC27" s="256"/>
      <c r="AD27" s="256"/>
      <c r="AE27" s="256"/>
      <c r="AF27" s="256"/>
      <c r="AG27" s="256"/>
      <c r="AH27" s="256"/>
      <c r="AI27" s="256"/>
      <c r="AJ27" s="256"/>
      <c r="AK27" s="256"/>
      <c r="AL27" s="256"/>
      <c r="AM27" s="631" t="s">
        <v>2331</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51</v>
      </c>
      <c r="C28" s="544" t="s">
        <v>2230</v>
      </c>
      <c r="D28" s="544"/>
      <c r="E28" s="544"/>
      <c r="F28" s="544"/>
      <c r="G28" s="544"/>
      <c r="H28" s="544"/>
      <c r="I28" s="544"/>
      <c r="J28" s="544"/>
      <c r="K28" s="544"/>
      <c r="L28" s="544"/>
      <c r="M28" s="544"/>
      <c r="N28" s="544"/>
      <c r="O28" s="544"/>
      <c r="P28" s="561"/>
      <c r="Q28" s="936">
        <f>Q26+Q27</f>
        <v>3900000</v>
      </c>
      <c r="R28" s="937"/>
      <c r="S28" s="937"/>
      <c r="T28" s="937"/>
      <c r="U28" s="937"/>
      <c r="V28" s="938"/>
      <c r="W28" s="277" t="s">
        <v>36</v>
      </c>
      <c r="X28" s="256"/>
      <c r="Y28" s="256"/>
      <c r="Z28" s="256" t="s">
        <v>43</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939" t="s">
        <v>2395</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32</v>
      </c>
      <c r="C32" s="939" t="s">
        <v>2231</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32</v>
      </c>
      <c r="C33" s="939" t="s">
        <v>2232</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32</v>
      </c>
      <c r="C34" s="939" t="s">
        <v>2332</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933" t="b">
        <v>1</v>
      </c>
      <c r="C37" s="934"/>
      <c r="D37" s="833" t="s">
        <v>52</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43</v>
      </c>
      <c r="AB37" s="284" t="str">
        <f>IFERROR(IF(AM36=TRUE,"○","×"),"")</f>
        <v>○</v>
      </c>
      <c r="AC37" s="172"/>
      <c r="AD37" s="172"/>
      <c r="AE37" s="172"/>
      <c r="AF37" s="172"/>
      <c r="AG37" s="172"/>
      <c r="AH37" s="172"/>
      <c r="AI37" s="172"/>
      <c r="AJ37" s="172"/>
      <c r="AK37" s="172"/>
      <c r="AL37" s="256"/>
      <c r="AM37" s="551" t="s">
        <v>53</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834" t="s">
        <v>2233</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32</v>
      </c>
      <c r="C41" s="834" t="s">
        <v>54</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2333</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56</v>
      </c>
      <c r="C43" s="924"/>
      <c r="D43" s="924"/>
      <c r="E43" s="924"/>
      <c r="F43" s="924"/>
      <c r="G43" s="924"/>
      <c r="H43" s="924"/>
      <c r="I43" s="924"/>
      <c r="J43" s="924"/>
      <c r="K43" s="924"/>
      <c r="L43" s="924"/>
      <c r="M43" s="924"/>
      <c r="N43" s="925"/>
      <c r="O43" s="926" t="s">
        <v>57</v>
      </c>
      <c r="P43" s="927"/>
      <c r="Q43" s="928">
        <v>6</v>
      </c>
      <c r="R43" s="928"/>
      <c r="S43" s="297" t="s">
        <v>58</v>
      </c>
      <c r="T43" s="929">
        <v>6</v>
      </c>
      <c r="U43" s="930"/>
      <c r="V43" s="298" t="s">
        <v>59</v>
      </c>
      <c r="W43" s="931" t="s">
        <v>60</v>
      </c>
      <c r="X43" s="931"/>
      <c r="Y43" s="931" t="s">
        <v>57</v>
      </c>
      <c r="Z43" s="932"/>
      <c r="AA43" s="929">
        <v>7</v>
      </c>
      <c r="AB43" s="930"/>
      <c r="AC43" s="299" t="s">
        <v>58</v>
      </c>
      <c r="AD43" s="929">
        <v>5</v>
      </c>
      <c r="AE43" s="930"/>
      <c r="AF43" s="298" t="s">
        <v>59</v>
      </c>
      <c r="AG43" s="298" t="s">
        <v>61</v>
      </c>
      <c r="AH43" s="298">
        <f>IF(Q43&gt;=1,(AA43*12+AD43)-(Q43*12+T43)+1,"")</f>
        <v>12</v>
      </c>
      <c r="AI43" s="931" t="s">
        <v>62</v>
      </c>
      <c r="AJ43" s="931"/>
      <c r="AK43" s="300" t="s">
        <v>63</v>
      </c>
      <c r="AL43" s="256"/>
      <c r="AM43" s="289"/>
      <c r="BB43" s="294"/>
    </row>
    <row r="44" spans="1:55" s="266" customFormat="1" ht="25.5" customHeight="1" thickBot="1">
      <c r="A44" s="265"/>
      <c r="B44" s="913" t="s">
        <v>64</v>
      </c>
      <c r="C44" s="914"/>
      <c r="D44" s="914"/>
      <c r="E44" s="914"/>
      <c r="F44" s="301" t="b">
        <v>1</v>
      </c>
      <c r="G44" s="915" t="s">
        <v>65</v>
      </c>
      <c r="H44" s="916"/>
      <c r="I44" s="917"/>
      <c r="J44" s="302" t="b">
        <v>0</v>
      </c>
      <c r="K44" s="915" t="s">
        <v>66</v>
      </c>
      <c r="L44" s="916"/>
      <c r="M44" s="916"/>
      <c r="N44" s="916"/>
      <c r="O44" s="696"/>
      <c r="P44" s="303" t="b">
        <v>0</v>
      </c>
      <c r="Q44" s="918" t="s">
        <v>67</v>
      </c>
      <c r="R44" s="919"/>
      <c r="S44" s="919"/>
      <c r="T44" s="919"/>
      <c r="U44" s="919"/>
      <c r="V44" s="920"/>
      <c r="W44" s="303"/>
      <c r="X44" s="918" t="s">
        <v>68</v>
      </c>
      <c r="Y44" s="919"/>
      <c r="Z44" s="920"/>
      <c r="AA44" s="303" t="b">
        <v>1</v>
      </c>
      <c r="AB44" s="921" t="s">
        <v>69</v>
      </c>
      <c r="AC44" s="922"/>
      <c r="AD44" s="304" t="s">
        <v>8</v>
      </c>
      <c r="AE44" s="896"/>
      <c r="AF44" s="896"/>
      <c r="AG44" s="896"/>
      <c r="AH44" s="896"/>
      <c r="AI44" s="896"/>
      <c r="AJ44" s="753" t="s">
        <v>70</v>
      </c>
      <c r="AK44" s="897"/>
      <c r="AL44" s="265"/>
      <c r="AM44" s="645" t="s">
        <v>2151</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71</v>
      </c>
      <c r="C45" s="892"/>
      <c r="D45" s="892"/>
      <c r="E45" s="892"/>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898"/>
      <c r="Z46" s="898"/>
      <c r="AA46" s="898"/>
      <c r="AB46" s="898"/>
      <c r="AC46" s="898"/>
      <c r="AD46" s="898"/>
      <c r="AE46" s="898"/>
      <c r="AF46" s="898"/>
      <c r="AG46" s="898"/>
      <c r="AH46" s="898"/>
      <c r="AI46" s="898"/>
      <c r="AJ46" s="898"/>
      <c r="AK46" s="313" t="s">
        <v>74</v>
      </c>
      <c r="AL46" s="265"/>
      <c r="AM46" s="631" t="s">
        <v>2151</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t="s">
        <v>76</v>
      </c>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2236</v>
      </c>
      <c r="AR49" s="162" t="b">
        <v>0</v>
      </c>
      <c r="AS49" s="732" t="s">
        <v>2234</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2237</v>
      </c>
      <c r="AO50" s="732"/>
      <c r="AP50" s="732"/>
      <c r="AR50" s="162" t="b">
        <v>1</v>
      </c>
      <c r="AS50" s="732" t="s">
        <v>2235</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66</v>
      </c>
      <c r="AO51" s="732"/>
      <c r="AP51" s="732"/>
      <c r="AR51" s="162" t="b">
        <v>0</v>
      </c>
      <c r="AS51" s="732" t="s">
        <v>69</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1</v>
      </c>
      <c r="AN52" s="732" t="s">
        <v>67</v>
      </c>
      <c r="AO52" s="732"/>
      <c r="AP52" s="732"/>
      <c r="AR52" s="162" t="b">
        <v>1</v>
      </c>
      <c r="AS52" s="732" t="s">
        <v>2238</v>
      </c>
      <c r="AT52" s="732"/>
    </row>
    <row r="53" spans="1:59" s="266" customFormat="1" ht="18.75" customHeight="1">
      <c r="A53" s="265"/>
      <c r="B53" s="893"/>
      <c r="C53" s="758"/>
      <c r="D53" s="758"/>
      <c r="E53" s="758"/>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732" t="s">
        <v>68</v>
      </c>
      <c r="AO53" s="732"/>
      <c r="AP53" s="732"/>
      <c r="AQ53" s="258"/>
      <c r="AR53" s="162" t="b">
        <v>0</v>
      </c>
      <c r="AS53" s="732" t="s">
        <v>83</v>
      </c>
      <c r="AT53" s="732"/>
      <c r="AV53" s="258"/>
      <c r="AW53" s="258"/>
      <c r="AX53" s="258"/>
      <c r="AY53" s="258"/>
      <c r="AZ53" s="258"/>
      <c r="BG53" s="258"/>
    </row>
    <row r="54" spans="1:59" ht="18.75" customHeight="1">
      <c r="A54" s="256"/>
      <c r="B54" s="894"/>
      <c r="C54" s="895"/>
      <c r="D54" s="895"/>
      <c r="E54" s="895"/>
      <c r="F54" s="319" t="s">
        <v>78</v>
      </c>
      <c r="G54" s="320"/>
      <c r="H54" s="320"/>
      <c r="I54" s="320"/>
      <c r="J54" s="320"/>
      <c r="K54" s="320"/>
      <c r="L54" s="320"/>
      <c r="M54" s="870" t="s">
        <v>79</v>
      </c>
      <c r="N54" s="871"/>
      <c r="O54" s="871"/>
      <c r="P54" s="871">
        <v>30</v>
      </c>
      <c r="Q54" s="871"/>
      <c r="R54" s="315" t="s">
        <v>80</v>
      </c>
      <c r="S54" s="871">
        <v>4</v>
      </c>
      <c r="T54" s="871"/>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732" t="s">
        <v>69</v>
      </c>
      <c r="AO54" s="732"/>
      <c r="AP54" s="732"/>
      <c r="AR54" s="162" t="b">
        <v>1</v>
      </c>
      <c r="AS54" s="732" t="s">
        <v>2239</v>
      </c>
      <c r="AT54" s="732"/>
    </row>
    <row r="55" spans="1:59" ht="24.75" customHeight="1">
      <c r="A55" s="256"/>
      <c r="B55" s="872" t="s">
        <v>84</v>
      </c>
      <c r="C55" s="873"/>
      <c r="D55" s="873"/>
      <c r="E55" s="874"/>
      <c r="F55" s="878"/>
      <c r="G55" s="880" t="s">
        <v>85</v>
      </c>
      <c r="H55" s="881"/>
      <c r="I55" s="882"/>
      <c r="J55" s="880" t="s">
        <v>86</v>
      </c>
      <c r="K55" s="881"/>
      <c r="L55" s="881"/>
      <c r="M55" s="886"/>
      <c r="N55" s="887" t="s">
        <v>2334</v>
      </c>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87</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2240</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37</v>
      </c>
      <c r="C60" s="856" t="s">
        <v>88</v>
      </c>
      <c r="D60" s="857"/>
      <c r="E60" s="857"/>
      <c r="F60" s="857"/>
      <c r="G60" s="857"/>
      <c r="H60" s="857"/>
      <c r="I60" s="857"/>
      <c r="J60" s="857"/>
      <c r="K60" s="857"/>
      <c r="L60" s="857"/>
      <c r="M60" s="857"/>
      <c r="N60" s="857"/>
      <c r="O60" s="857"/>
      <c r="P60" s="857"/>
      <c r="Q60" s="857"/>
      <c r="R60" s="857"/>
      <c r="S60" s="858"/>
      <c r="T60" s="859">
        <f>SUM('別紙様式6-2 事業所個票１:事業所個票10'!$BN$51)</f>
        <v>5302660</v>
      </c>
      <c r="U60" s="860"/>
      <c r="V60" s="860"/>
      <c r="W60" s="860"/>
      <c r="X60" s="860"/>
      <c r="Y60" s="861"/>
      <c r="Z60" s="286" t="s">
        <v>36</v>
      </c>
      <c r="AA60" s="275" t="s">
        <v>43</v>
      </c>
      <c r="AB60" s="862" t="str">
        <f>IFERROR(IF(T61&gt;=T60,"○","×"),"")</f>
        <v>×</v>
      </c>
      <c r="AC60" s="327"/>
      <c r="AD60" s="328"/>
      <c r="AE60" s="328"/>
      <c r="AF60" s="328"/>
      <c r="AG60" s="328"/>
      <c r="AH60" s="328"/>
      <c r="AI60" s="328"/>
      <c r="AJ60" s="328"/>
      <c r="AK60" s="328"/>
      <c r="AL60" s="256"/>
      <c r="AM60" s="631" t="s">
        <v>2241</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44</v>
      </c>
      <c r="C61" s="864" t="s">
        <v>89</v>
      </c>
      <c r="D61" s="865"/>
      <c r="E61" s="865"/>
      <c r="F61" s="865"/>
      <c r="G61" s="865"/>
      <c r="H61" s="865"/>
      <c r="I61" s="865"/>
      <c r="J61" s="865"/>
      <c r="K61" s="865"/>
      <c r="L61" s="865"/>
      <c r="M61" s="865"/>
      <c r="N61" s="865"/>
      <c r="O61" s="865"/>
      <c r="P61" s="865"/>
      <c r="Q61" s="865"/>
      <c r="R61" s="865"/>
      <c r="S61" s="866"/>
      <c r="T61" s="867">
        <v>5000000</v>
      </c>
      <c r="U61" s="868"/>
      <c r="V61" s="868"/>
      <c r="W61" s="868"/>
      <c r="X61" s="868"/>
      <c r="Y61" s="869"/>
      <c r="Z61" s="277" t="s">
        <v>36</v>
      </c>
      <c r="AA61" s="275" t="s">
        <v>43</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834" t="s">
        <v>2335</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2336</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92</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36</v>
      </c>
      <c r="Z67" s="334" t="s">
        <v>43</v>
      </c>
      <c r="AA67" s="335"/>
      <c r="AB67" s="256"/>
      <c r="AC67" s="256"/>
      <c r="AD67" s="256"/>
      <c r="AE67" s="256"/>
      <c r="AF67" s="256"/>
      <c r="AG67" s="256" t="s">
        <v>43</v>
      </c>
      <c r="AH67" s="336" t="str">
        <f>IF(T68&lt;T67,"×","")</f>
        <v/>
      </c>
      <c r="AI67" s="256"/>
      <c r="AJ67" s="256"/>
      <c r="AK67" s="256"/>
      <c r="AL67" s="256"/>
      <c r="AM67" s="645" t="s">
        <v>2337</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2338</v>
      </c>
      <c r="C68" s="847"/>
      <c r="D68" s="847"/>
      <c r="E68" s="847"/>
      <c r="F68" s="847"/>
      <c r="G68" s="847"/>
      <c r="H68" s="847"/>
      <c r="I68" s="847"/>
      <c r="J68" s="847"/>
      <c r="K68" s="847"/>
      <c r="L68" s="847"/>
      <c r="M68" s="847"/>
      <c r="N68" s="847"/>
      <c r="O68" s="847"/>
      <c r="P68" s="847"/>
      <c r="Q68" s="847"/>
      <c r="R68" s="847"/>
      <c r="S68" s="847"/>
      <c r="T68" s="848">
        <v>530000</v>
      </c>
      <c r="U68" s="849"/>
      <c r="V68" s="849"/>
      <c r="W68" s="849"/>
      <c r="X68" s="850"/>
      <c r="Y68" s="337" t="s">
        <v>36</v>
      </c>
      <c r="Z68" s="256"/>
      <c r="AA68" s="338" t="s">
        <v>73</v>
      </c>
      <c r="AB68" s="851">
        <f>IFERROR(T69/T67*100,0)</f>
        <v>0</v>
      </c>
      <c r="AC68" s="852"/>
      <c r="AD68" s="853"/>
      <c r="AE68" s="339" t="s">
        <v>93</v>
      </c>
      <c r="AF68" s="339" t="s">
        <v>74</v>
      </c>
      <c r="AG68" s="256" t="s">
        <v>43</v>
      </c>
      <c r="AH68" s="284" t="str">
        <f>IF(T67=0,"",(IF(AB68&gt;=200/3,"○","×")))</f>
        <v/>
      </c>
      <c r="AI68" s="322"/>
      <c r="AJ68" s="322"/>
      <c r="AK68" s="322"/>
      <c r="AL68" s="256"/>
      <c r="AM68" s="645" t="s">
        <v>2339</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2340</v>
      </c>
      <c r="D69" s="838"/>
      <c r="E69" s="838"/>
      <c r="F69" s="838"/>
      <c r="G69" s="838"/>
      <c r="H69" s="838"/>
      <c r="I69" s="838"/>
      <c r="J69" s="838"/>
      <c r="K69" s="838"/>
      <c r="L69" s="838"/>
      <c r="M69" s="838"/>
      <c r="N69" s="838"/>
      <c r="O69" s="838"/>
      <c r="P69" s="838"/>
      <c r="Q69" s="838"/>
      <c r="R69" s="838"/>
      <c r="S69" s="838"/>
      <c r="T69" s="840">
        <v>400000</v>
      </c>
      <c r="U69" s="841"/>
      <c r="V69" s="841"/>
      <c r="W69" s="841"/>
      <c r="X69" s="842"/>
      <c r="Y69" s="341" t="s">
        <v>36</v>
      </c>
      <c r="Z69" s="342" t="s">
        <v>43</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73</v>
      </c>
      <c r="U70" s="797">
        <f>T69/10</f>
        <v>40000</v>
      </c>
      <c r="V70" s="797"/>
      <c r="W70" s="797"/>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94</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85" t="s">
        <v>2341</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1</v>
      </c>
      <c r="AN74" s="732" t="s">
        <v>2242</v>
      </c>
      <c r="AO74" s="732"/>
      <c r="AP74" s="732"/>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2342</v>
      </c>
      <c r="F75" s="832"/>
      <c r="G75" s="832"/>
      <c r="H75" s="832"/>
      <c r="I75" s="832"/>
      <c r="J75" s="832"/>
      <c r="K75" s="832"/>
      <c r="L75" s="832"/>
      <c r="M75" s="832"/>
      <c r="N75" s="832"/>
      <c r="O75" s="832"/>
      <c r="P75" s="832"/>
      <c r="Q75" s="832"/>
      <c r="R75" s="832"/>
      <c r="S75" s="832"/>
      <c r="T75" s="832"/>
      <c r="U75" s="832"/>
      <c r="V75" s="832"/>
      <c r="W75" s="832"/>
      <c r="X75" s="833"/>
      <c r="Y75" s="172" t="s">
        <v>43</v>
      </c>
      <c r="Z75" s="284" t="str">
        <f>IF(AR74&lt;&gt;"該当","",IF(AM74=TRUE,"○","×"))</f>
        <v>○</v>
      </c>
      <c r="AA75" s="352"/>
      <c r="AB75" s="352"/>
      <c r="AC75" s="352"/>
      <c r="AD75" s="352"/>
      <c r="AE75" s="352"/>
      <c r="AF75" s="352"/>
      <c r="AG75" s="352"/>
      <c r="AH75" s="352"/>
      <c r="AI75" s="352"/>
      <c r="AJ75" s="352"/>
      <c r="AK75" s="352"/>
      <c r="AL75" s="352"/>
      <c r="AM75" s="645" t="s">
        <v>91</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834" t="s">
        <v>2344</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96</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231434</v>
      </c>
      <c r="V79" s="837"/>
      <c r="W79" s="837"/>
      <c r="X79" s="837"/>
      <c r="Y79" s="837"/>
      <c r="Z79" s="357" t="s">
        <v>36</v>
      </c>
      <c r="AA79" s="275" t="s">
        <v>43</v>
      </c>
      <c r="AB79" s="54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97</v>
      </c>
      <c r="D80" s="690"/>
      <c r="E80" s="690"/>
      <c r="F80" s="690"/>
      <c r="G80" s="690"/>
      <c r="H80" s="690"/>
      <c r="I80" s="690"/>
      <c r="J80" s="690"/>
      <c r="K80" s="690"/>
      <c r="L80" s="690"/>
      <c r="M80" s="690"/>
      <c r="N80" s="690"/>
      <c r="O80" s="690"/>
      <c r="P80" s="690"/>
      <c r="Q80" s="690"/>
      <c r="R80" s="690"/>
      <c r="S80" s="690"/>
      <c r="T80" s="691"/>
      <c r="U80" s="836">
        <f>U81+U86</f>
        <v>336000</v>
      </c>
      <c r="V80" s="837"/>
      <c r="W80" s="837"/>
      <c r="X80" s="837"/>
      <c r="Y80" s="837"/>
      <c r="Z80" s="333" t="s">
        <v>36</v>
      </c>
      <c r="AA80" s="275" t="s">
        <v>43</v>
      </c>
      <c r="AB80" s="550"/>
      <c r="AC80" s="275"/>
      <c r="AD80" s="275"/>
      <c r="AE80" s="275"/>
      <c r="AF80" s="275"/>
      <c r="AG80" s="275"/>
      <c r="AH80" s="322"/>
      <c r="AI80" s="322"/>
      <c r="AJ80" s="322"/>
      <c r="AK80" s="322"/>
      <c r="AL80" s="322"/>
      <c r="AM80" s="358"/>
    </row>
    <row r="81" spans="1:55" ht="9.75" customHeight="1" thickBot="1">
      <c r="A81" s="256"/>
      <c r="B81" s="356"/>
      <c r="C81" s="803" t="s">
        <v>98</v>
      </c>
      <c r="D81" s="802"/>
      <c r="E81" s="806" t="s">
        <v>99</v>
      </c>
      <c r="F81" s="807"/>
      <c r="G81" s="807"/>
      <c r="H81" s="807"/>
      <c r="I81" s="807"/>
      <c r="J81" s="807"/>
      <c r="K81" s="807"/>
      <c r="L81" s="807"/>
      <c r="M81" s="807"/>
      <c r="N81" s="807"/>
      <c r="O81" s="807"/>
      <c r="P81" s="807"/>
      <c r="Q81" s="807"/>
      <c r="R81" s="807"/>
      <c r="S81" s="807"/>
      <c r="T81" s="808"/>
      <c r="U81" s="812">
        <v>186000</v>
      </c>
      <c r="V81" s="813"/>
      <c r="W81" s="813"/>
      <c r="X81" s="813"/>
      <c r="Y81" s="814"/>
      <c r="Z81" s="825" t="s">
        <v>36</v>
      </c>
      <c r="AA81" s="796" t="s">
        <v>43</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73</v>
      </c>
      <c r="AC82" s="818">
        <f>IFERROR(U83/U81*100,0)</f>
        <v>75.268817204301072</v>
      </c>
      <c r="AD82" s="819"/>
      <c r="AE82" s="820"/>
      <c r="AF82" s="824" t="s">
        <v>93</v>
      </c>
      <c r="AG82" s="824" t="s">
        <v>74</v>
      </c>
      <c r="AH82" s="775" t="s">
        <v>43</v>
      </c>
      <c r="AI82" s="549" t="s">
        <v>2422</v>
      </c>
      <c r="AJ82" s="322"/>
      <c r="AK82" s="256"/>
      <c r="AL82" s="322"/>
      <c r="AM82" s="776" t="s">
        <v>2345</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2346</v>
      </c>
      <c r="G83" s="783"/>
      <c r="H83" s="783"/>
      <c r="I83" s="783"/>
      <c r="J83" s="783"/>
      <c r="K83" s="783"/>
      <c r="L83" s="783"/>
      <c r="M83" s="783"/>
      <c r="N83" s="783"/>
      <c r="O83" s="783"/>
      <c r="P83" s="783"/>
      <c r="Q83" s="783"/>
      <c r="R83" s="783"/>
      <c r="S83" s="783"/>
      <c r="T83" s="783"/>
      <c r="U83" s="788">
        <v>140000</v>
      </c>
      <c r="V83" s="789"/>
      <c r="W83" s="789"/>
      <c r="X83" s="789"/>
      <c r="Y83" s="790"/>
      <c r="Z83" s="827" t="s">
        <v>36</v>
      </c>
      <c r="AA83" s="796" t="s">
        <v>43</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73</v>
      </c>
      <c r="V85" s="829">
        <f>U83/2</f>
        <v>70000</v>
      </c>
      <c r="W85" s="829"/>
      <c r="X85" s="829"/>
      <c r="Y85" s="101" t="s">
        <v>36</v>
      </c>
      <c r="Z85" s="3" t="s">
        <v>74</v>
      </c>
      <c r="AA85" s="102"/>
      <c r="AB85" s="343"/>
      <c r="AC85" s="343"/>
      <c r="AD85" s="344"/>
      <c r="AE85" s="798"/>
      <c r="AF85" s="798"/>
      <c r="AG85" s="339"/>
      <c r="AH85" s="256"/>
      <c r="AI85" s="348"/>
      <c r="AJ85" s="322"/>
      <c r="AK85" s="322"/>
      <c r="AL85" s="322"/>
      <c r="AM85" s="358"/>
    </row>
    <row r="86" spans="1:55" ht="9.75" customHeight="1" thickBot="1">
      <c r="A86" s="256"/>
      <c r="B86" s="356"/>
      <c r="C86" s="799" t="s">
        <v>100</v>
      </c>
      <c r="D86" s="800"/>
      <c r="E86" s="806" t="s">
        <v>101</v>
      </c>
      <c r="F86" s="807"/>
      <c r="G86" s="807"/>
      <c r="H86" s="807"/>
      <c r="I86" s="807"/>
      <c r="J86" s="807"/>
      <c r="K86" s="807"/>
      <c r="L86" s="807"/>
      <c r="M86" s="807"/>
      <c r="N86" s="807"/>
      <c r="O86" s="807"/>
      <c r="P86" s="807"/>
      <c r="Q86" s="807"/>
      <c r="R86" s="807"/>
      <c r="S86" s="807"/>
      <c r="T86" s="808"/>
      <c r="U86" s="812">
        <v>150000</v>
      </c>
      <c r="V86" s="813"/>
      <c r="W86" s="813"/>
      <c r="X86" s="813"/>
      <c r="Y86" s="814"/>
      <c r="Z86" s="815" t="s">
        <v>36</v>
      </c>
      <c r="AA86" s="796" t="s">
        <v>43</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73</v>
      </c>
      <c r="AC87" s="818">
        <f>IFERROR(U88/U86*100,0)</f>
        <v>83.333333333333343</v>
      </c>
      <c r="AD87" s="819"/>
      <c r="AE87" s="820"/>
      <c r="AF87" s="824" t="s">
        <v>93</v>
      </c>
      <c r="AG87" s="824" t="s">
        <v>74</v>
      </c>
      <c r="AH87" s="775" t="s">
        <v>43</v>
      </c>
      <c r="AI87" s="549" t="s">
        <v>2422</v>
      </c>
      <c r="AJ87" s="322"/>
      <c r="AK87" s="322"/>
      <c r="AL87" s="322"/>
      <c r="AM87" s="776" t="s">
        <v>2347</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2348</v>
      </c>
      <c r="G88" s="783"/>
      <c r="H88" s="783"/>
      <c r="I88" s="783"/>
      <c r="J88" s="783"/>
      <c r="K88" s="783"/>
      <c r="L88" s="783"/>
      <c r="M88" s="783"/>
      <c r="N88" s="783"/>
      <c r="O88" s="783"/>
      <c r="P88" s="783"/>
      <c r="Q88" s="783"/>
      <c r="R88" s="783"/>
      <c r="S88" s="783"/>
      <c r="T88" s="783"/>
      <c r="U88" s="788">
        <v>125000</v>
      </c>
      <c r="V88" s="789"/>
      <c r="W88" s="789"/>
      <c r="X88" s="789"/>
      <c r="Y88" s="790"/>
      <c r="Z88" s="794" t="s">
        <v>36</v>
      </c>
      <c r="AA88" s="796" t="s">
        <v>43</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73</v>
      </c>
      <c r="V90" s="797">
        <f>U88/2</f>
        <v>62500</v>
      </c>
      <c r="W90" s="797"/>
      <c r="X90" s="797"/>
      <c r="Y90" s="100" t="s">
        <v>36</v>
      </c>
      <c r="Z90" s="4" t="s">
        <v>74</v>
      </c>
      <c r="AA90" s="102"/>
      <c r="AB90" s="343"/>
      <c r="AC90" s="344"/>
      <c r="AD90" s="798"/>
      <c r="AE90" s="798"/>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103</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該当</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72" t="str">
        <f>IF(SUM('別紙様式6-2 事業所個票１:事業所個票10'!CI4)=0,"該当","")</f>
        <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108</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109</v>
      </c>
      <c r="F98" s="753"/>
      <c r="G98" s="753"/>
      <c r="H98" s="753"/>
      <c r="I98" s="753"/>
      <c r="J98" s="753"/>
      <c r="K98" s="753"/>
      <c r="L98" s="753"/>
      <c r="M98" s="753"/>
      <c r="N98" s="753"/>
      <c r="O98" s="753"/>
      <c r="P98" s="753"/>
      <c r="Q98" s="753"/>
      <c r="R98" s="75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732" t="s">
        <v>2242</v>
      </c>
      <c r="AO99" s="732"/>
      <c r="AP99" s="732"/>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2243</v>
      </c>
      <c r="AO100" s="732"/>
      <c r="AP100" s="732"/>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116</v>
      </c>
      <c r="D103" s="737"/>
      <c r="E103" s="737"/>
      <c r="F103" s="737"/>
      <c r="G103" s="737"/>
      <c r="H103" s="737"/>
      <c r="I103" s="737"/>
      <c r="J103" s="737"/>
      <c r="K103" s="737"/>
      <c r="L103" s="325"/>
      <c r="M103" s="698"/>
      <c r="N103" s="699"/>
      <c r="O103" s="769" t="s">
        <v>117</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
      </c>
      <c r="AL103" s="265"/>
      <c r="AM103" s="686" t="s">
        <v>2152</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118</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119</v>
      </c>
      <c r="F106" s="753"/>
      <c r="G106" s="753"/>
      <c r="H106" s="753"/>
      <c r="I106" s="753"/>
      <c r="J106" s="753"/>
      <c r="K106" s="753"/>
      <c r="L106" s="753"/>
      <c r="M106" s="753"/>
      <c r="N106" s="753"/>
      <c r="O106" s="753"/>
      <c r="P106" s="753"/>
      <c r="Q106" s="753"/>
      <c r="R106" s="75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55"/>
      <c r="C107" s="381" t="s">
        <v>110</v>
      </c>
      <c r="D107" s="756" t="s">
        <v>120</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2242</v>
      </c>
      <c r="AO107" s="732"/>
      <c r="AP107" s="732"/>
      <c r="AQ107" s="258"/>
      <c r="AR107" s="162" t="b">
        <v>0</v>
      </c>
      <c r="AS107" s="732" t="s">
        <v>2244</v>
      </c>
      <c r="AT107" s="732"/>
      <c r="AU107" s="732"/>
    </row>
    <row r="108" spans="1:55" s="266" customFormat="1" ht="25.5" customHeight="1" thickBot="1">
      <c r="A108" s="265"/>
      <c r="B108" s="755"/>
      <c r="C108" s="707"/>
      <c r="D108" s="709" t="s">
        <v>121</v>
      </c>
      <c r="E108" s="710"/>
      <c r="F108" s="710"/>
      <c r="G108" s="710"/>
      <c r="H108" s="742"/>
      <c r="I108" s="744" t="s">
        <v>37</v>
      </c>
      <c r="J108" s="746" t="s">
        <v>122</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1</v>
      </c>
      <c r="AN108" s="732" t="s">
        <v>2243</v>
      </c>
      <c r="AO108" s="732"/>
      <c r="AP108" s="732"/>
      <c r="AQ108" s="402"/>
      <c r="AR108" s="162" t="b">
        <v>0</v>
      </c>
      <c r="AS108" s="732" t="s">
        <v>2245</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t="s">
        <v>2349</v>
      </c>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2350</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44</v>
      </c>
      <c r="J110" s="403" t="s">
        <v>123</v>
      </c>
      <c r="K110" s="404"/>
      <c r="L110" s="404"/>
      <c r="M110" s="404"/>
      <c r="N110" s="404"/>
      <c r="O110" s="404"/>
      <c r="P110" s="404"/>
      <c r="Q110" s="404"/>
      <c r="R110" s="404"/>
      <c r="S110" s="764" t="s">
        <v>124</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t="s">
        <v>2351</v>
      </c>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2352</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2353</v>
      </c>
      <c r="D114" s="737"/>
      <c r="E114" s="737"/>
      <c r="F114" s="737"/>
      <c r="G114" s="737"/>
      <c r="H114" s="737"/>
      <c r="I114" s="737"/>
      <c r="J114" s="737"/>
      <c r="K114" s="737"/>
      <c r="L114" s="325"/>
      <c r="M114" s="698"/>
      <c r="N114" s="699"/>
      <c r="O114" s="738" t="s">
        <v>126</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2153</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127</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732" t="s">
        <v>2244</v>
      </c>
      <c r="AT117" s="732"/>
      <c r="AU117" s="732"/>
    </row>
    <row r="118" spans="1:55" s="266" customFormat="1" ht="20.25" customHeight="1" thickBot="1">
      <c r="A118" s="265"/>
      <c r="B118" s="698"/>
      <c r="C118" s="699"/>
      <c r="D118" s="733" t="s">
        <v>119</v>
      </c>
      <c r="E118" s="733"/>
      <c r="F118" s="733"/>
      <c r="G118" s="733"/>
      <c r="H118" s="733"/>
      <c r="I118" s="733"/>
      <c r="J118" s="733"/>
      <c r="K118" s="733"/>
      <c r="L118" s="733"/>
      <c r="M118" s="733"/>
      <c r="N118" s="733"/>
      <c r="O118" s="733"/>
      <c r="P118" s="733"/>
      <c r="Q118" s="734"/>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732" t="s">
        <v>2242</v>
      </c>
      <c r="AO118" s="732"/>
      <c r="AP118" s="732"/>
      <c r="AR118" s="162" t="b">
        <v>0</v>
      </c>
      <c r="AS118" s="732" t="s">
        <v>2245</v>
      </c>
      <c r="AT118" s="732"/>
      <c r="AU118" s="732"/>
    </row>
    <row r="119" spans="1:55" s="266" customFormat="1" ht="28.5" customHeight="1" thickBot="1">
      <c r="A119" s="265"/>
      <c r="B119" s="381" t="s">
        <v>110</v>
      </c>
      <c r="C119" s="735" t="s">
        <v>129</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2243</v>
      </c>
      <c r="AO119" s="732"/>
      <c r="AP119" s="732"/>
      <c r="AR119" s="162" t="b">
        <v>0</v>
      </c>
      <c r="AS119" s="732" t="s">
        <v>2246</v>
      </c>
      <c r="AT119" s="732"/>
      <c r="AU119" s="732"/>
    </row>
    <row r="120" spans="1:55" s="266" customFormat="1" ht="25.5" customHeight="1">
      <c r="A120" s="265"/>
      <c r="B120" s="707"/>
      <c r="C120" s="709" t="s">
        <v>130</v>
      </c>
      <c r="D120" s="710"/>
      <c r="E120" s="710"/>
      <c r="F120" s="710"/>
      <c r="G120" s="417"/>
      <c r="H120" s="418" t="s">
        <v>37</v>
      </c>
      <c r="I120" s="715" t="s">
        <v>131</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2354</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44</v>
      </c>
      <c r="I121" s="726" t="s">
        <v>132</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45</v>
      </c>
      <c r="I122" s="729" t="s">
        <v>133</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112</v>
      </c>
      <c r="C123" s="694" t="s">
        <v>125</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2355</v>
      </c>
      <c r="C125" s="697"/>
      <c r="D125" s="697"/>
      <c r="E125" s="697"/>
      <c r="F125" s="697"/>
      <c r="G125" s="697"/>
      <c r="H125" s="697"/>
      <c r="I125" s="697"/>
      <c r="J125" s="697"/>
      <c r="K125" s="697"/>
      <c r="L125" s="325"/>
      <c r="M125" s="698"/>
      <c r="N125" s="699"/>
      <c r="O125" s="700" t="s">
        <v>134</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2154</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135</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137</v>
      </c>
      <c r="C129" s="924"/>
      <c r="D129" s="924"/>
      <c r="E129" s="924"/>
      <c r="F129" s="924"/>
      <c r="G129" s="924"/>
      <c r="H129" s="924"/>
      <c r="I129" s="924"/>
      <c r="J129" s="924"/>
      <c r="K129" s="924"/>
      <c r="L129" s="702" t="s">
        <v>2370</v>
      </c>
      <c r="M129" s="702"/>
      <c r="N129" s="702"/>
      <c r="O129" s="702"/>
      <c r="P129" s="702"/>
      <c r="Q129" s="702"/>
      <c r="R129" s="702"/>
      <c r="S129" s="702"/>
      <c r="T129" s="702"/>
      <c r="U129" s="702"/>
      <c r="V129" s="702"/>
      <c r="W129" s="702"/>
      <c r="X129" s="702"/>
      <c r="Y129" s="702"/>
      <c r="Z129" s="702"/>
      <c r="AA129" s="703"/>
      <c r="AB129" s="426">
        <f>SUM('別紙様式6-2 事業所個票１:事業所個票10'!AG37)</f>
        <v>3</v>
      </c>
      <c r="AC129" s="704" t="s">
        <v>2372</v>
      </c>
      <c r="AD129" s="705" t="str">
        <f>IF(AB130=0,"",IF(AB129&gt;=AB130,"○","×"))</f>
        <v>○</v>
      </c>
      <c r="AE129" s="256"/>
      <c r="AF129" s="256"/>
      <c r="AG129" s="256"/>
      <c r="AH129" s="256"/>
      <c r="AI129" s="256"/>
      <c r="AJ129" s="256"/>
      <c r="AK129" s="256"/>
      <c r="AL129" s="256"/>
      <c r="AM129" s="427" t="str">
        <f>IF(OR(AD129="×",AD131="×"),"×","")</f>
        <v>×</v>
      </c>
    </row>
    <row r="130" spans="1:56" ht="24.75" customHeight="1" thickBot="1">
      <c r="A130" s="256"/>
      <c r="B130" s="954"/>
      <c r="C130" s="955"/>
      <c r="D130" s="955"/>
      <c r="E130" s="955"/>
      <c r="F130" s="955"/>
      <c r="G130" s="955"/>
      <c r="H130" s="955"/>
      <c r="I130" s="955"/>
      <c r="J130" s="955"/>
      <c r="K130" s="955"/>
      <c r="L130" s="702" t="s">
        <v>2371</v>
      </c>
      <c r="M130" s="702"/>
      <c r="N130" s="702"/>
      <c r="O130" s="702"/>
      <c r="P130" s="702"/>
      <c r="Q130" s="702"/>
      <c r="R130" s="702"/>
      <c r="S130" s="702"/>
      <c r="T130" s="702"/>
      <c r="U130" s="702"/>
      <c r="V130" s="702"/>
      <c r="W130" s="702"/>
      <c r="X130" s="702"/>
      <c r="Y130" s="702"/>
      <c r="Z130" s="702"/>
      <c r="AA130" s="703"/>
      <c r="AB130" s="426">
        <f>SUM('別紙様式6-2 事業所個票１:事業所個票10'!CI6)</f>
        <v>3</v>
      </c>
      <c r="AC130" s="704"/>
      <c r="AD130" s="706"/>
      <c r="AE130" s="256"/>
      <c r="AF130" s="256"/>
      <c r="AG130" s="256"/>
      <c r="AH130" s="256"/>
      <c r="AI130" s="256"/>
      <c r="AJ130" s="256"/>
      <c r="AK130" s="256"/>
      <c r="AL130" s="256"/>
    </row>
    <row r="131" spans="1:56" ht="24.75" customHeight="1" thickBot="1">
      <c r="A131" s="256"/>
      <c r="B131" s="648" t="s">
        <v>2356</v>
      </c>
      <c r="C131" s="649"/>
      <c r="D131" s="649"/>
      <c r="E131" s="649"/>
      <c r="F131" s="649"/>
      <c r="G131" s="649"/>
      <c r="H131" s="649"/>
      <c r="I131" s="649"/>
      <c r="J131" s="649"/>
      <c r="K131" s="649"/>
      <c r="L131" s="702" t="s">
        <v>2370</v>
      </c>
      <c r="M131" s="702"/>
      <c r="N131" s="702"/>
      <c r="O131" s="702"/>
      <c r="P131" s="702"/>
      <c r="Q131" s="702"/>
      <c r="R131" s="702"/>
      <c r="S131" s="702"/>
      <c r="T131" s="702"/>
      <c r="U131" s="702"/>
      <c r="V131" s="702"/>
      <c r="W131" s="702"/>
      <c r="X131" s="702"/>
      <c r="Y131" s="702"/>
      <c r="Z131" s="702"/>
      <c r="AA131" s="703"/>
      <c r="AB131" s="426">
        <f>SUM('別紙様式6-2 事業所個票１:事業所個票10'!AO37)</f>
        <v>2</v>
      </c>
      <c r="AC131" s="704" t="s">
        <v>2372</v>
      </c>
      <c r="AD131" s="705" t="str">
        <f>IF(AB132=0,"",IF(AB131&gt;=AB132,"○","×"))</f>
        <v>×</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2371</v>
      </c>
      <c r="M132" s="702"/>
      <c r="N132" s="702"/>
      <c r="O132" s="702"/>
      <c r="P132" s="702"/>
      <c r="Q132" s="702"/>
      <c r="R132" s="702"/>
      <c r="S132" s="702"/>
      <c r="T132" s="702"/>
      <c r="U132" s="702"/>
      <c r="V132" s="702"/>
      <c r="W132" s="702"/>
      <c r="X132" s="702"/>
      <c r="Y132" s="702"/>
      <c r="Z132" s="702"/>
      <c r="AA132" s="703"/>
      <c r="AB132" s="426">
        <f>SUM('別紙様式6-2 事業所個票１:事業所個票10'!CI6)</f>
        <v>3</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45" t="s">
        <v>2357</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140</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74</v>
      </c>
      <c r="AL139" s="265"/>
      <c r="AM139" s="162" t="b">
        <v>0</v>
      </c>
      <c r="AN139" s="686" t="s">
        <v>2360</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142</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143</v>
      </c>
      <c r="C143" s="690"/>
      <c r="D143" s="690"/>
      <c r="E143" s="690"/>
      <c r="F143" s="690"/>
      <c r="G143" s="690"/>
      <c r="H143" s="690"/>
      <c r="I143" s="690"/>
      <c r="J143" s="690"/>
      <c r="K143" s="690"/>
      <c r="L143" s="690"/>
      <c r="M143" s="690"/>
      <c r="N143" s="690"/>
      <c r="O143" s="690"/>
      <c r="P143" s="690"/>
      <c r="Q143" s="691"/>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2373</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144</v>
      </c>
      <c r="C144" s="681"/>
      <c r="D144" s="681"/>
      <c r="E144" s="681"/>
      <c r="F144" s="681"/>
      <c r="G144" s="681"/>
      <c r="H144" s="681"/>
      <c r="I144" s="681"/>
      <c r="J144" s="681"/>
      <c r="K144" s="681"/>
      <c r="L144" s="681"/>
      <c r="M144" s="681"/>
      <c r="N144" s="681"/>
      <c r="O144" s="681"/>
      <c r="P144" s="681"/>
      <c r="Q144" s="682"/>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2374</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145</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
      </c>
      <c r="AJ147" s="672"/>
      <c r="AK147" s="673"/>
      <c r="AL147" s="265"/>
    </row>
    <row r="148" spans="1:55" s="266" customFormat="1" ht="28.5" customHeight="1">
      <c r="A148" s="265"/>
      <c r="B148" s="355" t="s">
        <v>90</v>
      </c>
      <c r="C148" s="670" t="s">
        <v>147</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該当</v>
      </c>
      <c r="AJ150" s="672"/>
      <c r="AK150" s="673"/>
      <c r="AL150" s="265"/>
    </row>
    <row r="151" spans="1:55" s="266" customFormat="1" ht="39" customHeight="1">
      <c r="A151" s="265"/>
      <c r="B151" s="355" t="s">
        <v>90</v>
      </c>
      <c r="C151" s="670" t="s">
        <v>149</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150</v>
      </c>
      <c r="C153" s="675"/>
      <c r="D153" s="675"/>
      <c r="E153" s="676"/>
      <c r="F153" s="677" t="s">
        <v>151</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2247</v>
      </c>
      <c r="AN153" s="645" t="s">
        <v>2155</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152</v>
      </c>
      <c r="C154" s="649"/>
      <c r="D154" s="649"/>
      <c r="E154" s="650"/>
      <c r="F154" s="460"/>
      <c r="G154" s="667" t="s">
        <v>153</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154</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2156</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155</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156</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1</v>
      </c>
    </row>
    <row r="158" spans="1:55" s="266" customFormat="1" ht="24.75" customHeight="1" thickBot="1">
      <c r="A158" s="265"/>
      <c r="B158" s="648" t="s">
        <v>157</v>
      </c>
      <c r="C158" s="649"/>
      <c r="D158" s="649"/>
      <c r="E158" s="650"/>
      <c r="F158" s="465"/>
      <c r="G158" s="664" t="s">
        <v>158</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159</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2156</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160</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161</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1</v>
      </c>
    </row>
    <row r="162" spans="1:55" s="266" customFormat="1" ht="13.5" customHeight="1" thickBot="1">
      <c r="A162" s="265"/>
      <c r="B162" s="648" t="s">
        <v>162</v>
      </c>
      <c r="C162" s="649"/>
      <c r="D162" s="649"/>
      <c r="E162" s="650"/>
      <c r="F162" s="469"/>
      <c r="G162" s="664" t="s">
        <v>163</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164</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2156</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165</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1</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166</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1</v>
      </c>
    </row>
    <row r="166" spans="1:55" s="266" customFormat="1" ht="21" customHeight="1" thickBot="1">
      <c r="A166" s="265"/>
      <c r="B166" s="648" t="s">
        <v>167</v>
      </c>
      <c r="C166" s="649"/>
      <c r="D166" s="649"/>
      <c r="E166" s="650"/>
      <c r="F166" s="465"/>
      <c r="G166" s="662" t="s">
        <v>168</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169</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2156</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170</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1</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171</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1</v>
      </c>
    </row>
    <row r="170" spans="1:55" s="266" customFormat="1" ht="13.5" customHeight="1" thickBot="1">
      <c r="A170" s="265"/>
      <c r="B170" s="648" t="s">
        <v>172</v>
      </c>
      <c r="C170" s="649"/>
      <c r="D170" s="649"/>
      <c r="E170" s="650"/>
      <c r="F170" s="469"/>
      <c r="G170" s="657" t="s">
        <v>173</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174</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1</v>
      </c>
      <c r="AN171" s="631" t="s">
        <v>2156</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175</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176</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177</v>
      </c>
      <c r="C174" s="649"/>
      <c r="D174" s="649"/>
      <c r="E174" s="650"/>
      <c r="F174" s="469"/>
      <c r="G174" s="657" t="s">
        <v>178</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179</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2156</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180</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181</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182</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624" t="s">
        <v>185</v>
      </c>
      <c r="C181" s="625"/>
      <c r="D181" s="625"/>
      <c r="E181" s="626" t="b">
        <v>0</v>
      </c>
      <c r="F181" s="460"/>
      <c r="G181" s="616" t="s">
        <v>2248</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1</v>
      </c>
      <c r="AN181" s="631" t="s">
        <v>184</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2249</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188</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189</v>
      </c>
      <c r="AF186" s="643"/>
      <c r="AG186" s="643"/>
      <c r="AH186" s="643"/>
      <c r="AI186" s="643"/>
      <c r="AJ186" s="644"/>
      <c r="AK186" s="458" t="str">
        <f>IF(AND(AM187=TRUE,OR(Q20=0,AM188=TRUE),AM189=TRUE,AM190=TRUE,AM191=TRUE,AM192=TRUE),"○","×")</f>
        <v>○</v>
      </c>
      <c r="AL186" s="256"/>
      <c r="AM186" s="645" t="s">
        <v>2157</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190</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192</v>
      </c>
      <c r="AF187" s="619"/>
      <c r="AG187" s="619"/>
      <c r="AH187" s="619"/>
      <c r="AI187" s="619"/>
      <c r="AJ187" s="619"/>
      <c r="AK187" s="620"/>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191</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192</v>
      </c>
      <c r="AF188" s="609"/>
      <c r="AG188" s="609"/>
      <c r="AH188" s="609"/>
      <c r="AI188" s="609"/>
      <c r="AJ188" s="609"/>
      <c r="AK188" s="6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193</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194</v>
      </c>
      <c r="AF189" s="609"/>
      <c r="AG189" s="609"/>
      <c r="AH189" s="609"/>
      <c r="AI189" s="609"/>
      <c r="AJ189" s="609"/>
      <c r="AK189" s="6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195</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196</v>
      </c>
      <c r="AF190" s="606"/>
      <c r="AG190" s="606"/>
      <c r="AH190" s="606"/>
      <c r="AI190" s="606"/>
      <c r="AJ190" s="606"/>
      <c r="AK190" s="607"/>
      <c r="AL190" s="256"/>
      <c r="AM190" s="162" t="b">
        <v>1</v>
      </c>
    </row>
    <row r="191" spans="1:59" s="266" customFormat="1" ht="23.25" customHeight="1">
      <c r="A191" s="265"/>
      <c r="B191" s="469"/>
      <c r="C191" s="603" t="s">
        <v>197</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198</v>
      </c>
      <c r="AF191" s="609"/>
      <c r="AG191" s="609"/>
      <c r="AH191" s="609"/>
      <c r="AI191" s="609"/>
      <c r="AJ191" s="609"/>
      <c r="AK191" s="610"/>
      <c r="AL191" s="256"/>
      <c r="AM191" s="162" t="b">
        <v>1</v>
      </c>
      <c r="AN191" s="483"/>
      <c r="AO191" s="483"/>
      <c r="AP191" s="483"/>
    </row>
    <row r="192" spans="1:59" s="266" customFormat="1" ht="13.5" customHeight="1" thickBot="1">
      <c r="A192" s="265"/>
      <c r="B192" s="473"/>
      <c r="C192" s="611" t="s">
        <v>199</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200</v>
      </c>
      <c r="AF192" s="614"/>
      <c r="AG192" s="614"/>
      <c r="AH192" s="614"/>
      <c r="AI192" s="614"/>
      <c r="AJ192" s="614"/>
      <c r="AK192" s="615"/>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597" t="s">
        <v>2250</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203</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599">
        <v>6</v>
      </c>
      <c r="F200" s="600"/>
      <c r="G200" s="494" t="s">
        <v>80</v>
      </c>
      <c r="H200" s="599" t="s">
        <v>204</v>
      </c>
      <c r="I200" s="600"/>
      <c r="J200" s="494" t="s">
        <v>205</v>
      </c>
      <c r="K200" s="599" t="s">
        <v>204</v>
      </c>
      <c r="L200" s="600"/>
      <c r="M200" s="494" t="s">
        <v>206</v>
      </c>
      <c r="N200" s="482"/>
      <c r="O200" s="601" t="s">
        <v>22</v>
      </c>
      <c r="P200" s="601"/>
      <c r="Q200" s="601"/>
      <c r="R200" s="602" t="str">
        <f>IF(H7="","",H7)</f>
        <v>○○ケアサービス</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207</v>
      </c>
      <c r="P201" s="593"/>
      <c r="Q201" s="593"/>
      <c r="R201" s="594" t="s">
        <v>24</v>
      </c>
      <c r="S201" s="594"/>
      <c r="T201" s="595" t="s">
        <v>25</v>
      </c>
      <c r="U201" s="595"/>
      <c r="V201" s="595"/>
      <c r="W201" s="595"/>
      <c r="X201" s="595"/>
      <c r="Y201" s="596" t="s">
        <v>26</v>
      </c>
      <c r="Z201" s="596"/>
      <c r="AA201" s="595" t="s">
        <v>27</v>
      </c>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211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212</v>
      </c>
      <c r="C209" s="584" t="s">
        <v>213</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214</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215</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216</v>
      </c>
      <c r="C212" s="587" t="s">
        <v>217</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218</v>
      </c>
      <c r="C213" s="590" t="s">
        <v>219</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220</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212</v>
      </c>
      <c r="C216" s="568" t="s">
        <v>221</v>
      </c>
      <c r="D216" s="569"/>
      <c r="E216" s="569"/>
      <c r="F216" s="569"/>
      <c r="G216" s="569"/>
      <c r="H216" s="569"/>
      <c r="I216" s="570"/>
      <c r="J216" s="571" t="s">
        <v>222</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216</v>
      </c>
      <c r="C217" s="564" t="s">
        <v>223</v>
      </c>
      <c r="D217" s="564"/>
      <c r="E217" s="564"/>
      <c r="F217" s="564"/>
      <c r="G217" s="564"/>
      <c r="H217" s="564"/>
      <c r="I217" s="564"/>
      <c r="J217" s="565" t="s">
        <v>224</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225</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226</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227</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218</v>
      </c>
      <c r="C221" s="564" t="s">
        <v>229</v>
      </c>
      <c r="D221" s="564"/>
      <c r="E221" s="564"/>
      <c r="F221" s="564"/>
      <c r="G221" s="564"/>
      <c r="H221" s="564"/>
      <c r="I221" s="564"/>
      <c r="J221" s="565" t="s">
        <v>230</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231</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564" t="s">
        <v>232</v>
      </c>
      <c r="D223" s="564"/>
      <c r="E223" s="564"/>
      <c r="F223" s="564"/>
      <c r="G223" s="564"/>
      <c r="H223" s="564"/>
      <c r="I223" s="564"/>
      <c r="J223" s="565" t="s">
        <v>233</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v>
      </c>
      <c r="AL223" s="256"/>
      <c r="AM223" s="258"/>
    </row>
    <row r="224" spans="1:60" s="266" customFormat="1" ht="36" customHeight="1">
      <c r="A224" s="265"/>
      <c r="B224" s="518" t="s">
        <v>2363</v>
      </c>
      <c r="C224" s="564" t="s">
        <v>234</v>
      </c>
      <c r="D224" s="564"/>
      <c r="E224" s="564"/>
      <c r="F224" s="564"/>
      <c r="G224" s="564"/>
      <c r="H224" s="564"/>
      <c r="I224" s="564"/>
      <c r="J224" s="565" t="s">
        <v>235</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2364</v>
      </c>
      <c r="C225" s="564" t="s">
        <v>237</v>
      </c>
      <c r="D225" s="564"/>
      <c r="E225" s="564"/>
      <c r="F225" s="564"/>
      <c r="G225" s="564"/>
      <c r="H225" s="564"/>
      <c r="I225" s="564"/>
      <c r="J225" s="571" t="s">
        <v>238</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236</v>
      </c>
      <c r="C226" s="564" t="s">
        <v>239</v>
      </c>
      <c r="D226" s="564"/>
      <c r="E226" s="564"/>
      <c r="F226" s="564"/>
      <c r="G226" s="564"/>
      <c r="H226" s="564"/>
      <c r="I226" s="564"/>
      <c r="J226" s="571" t="s">
        <v>240</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241</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242</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32</v>
      </c>
      <c r="C230" s="573" t="s">
        <v>243</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32</v>
      </c>
      <c r="C231" s="575" t="s">
        <v>2251</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35433070866141736" bottom="0.35433070866141736"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2429</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hvO50XMJUPAaxP5LmEC8QNvu1tyok9vOjkoLMWipdpgmYJrGEwv0Ke89MZCp9VJAVtydQWWZQzbZNQ58eQ+Njw==" saltValue="MBDEwnoTCBfKYaZJAhjbI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2430</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8"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8" ht="15.95" customHeight="1">
      <c r="U57" s="1015" t="s">
        <v>2203</v>
      </c>
      <c r="V57" s="1015"/>
      <c r="W57" s="1015"/>
      <c r="X57" s="1015"/>
      <c r="Y57" s="1015"/>
      <c r="Z57" s="532"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2204</v>
      </c>
      <c r="V58" s="1139"/>
      <c r="W58" s="1139"/>
      <c r="X58" s="1139"/>
      <c r="Y58" s="1139"/>
      <c r="Z58" s="532"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2205</v>
      </c>
      <c r="V59" s="1139"/>
      <c r="W59" s="1139"/>
      <c r="X59" s="1139"/>
      <c r="Y59" s="1139"/>
      <c r="Z59" s="532"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2206</v>
      </c>
      <c r="V60" s="1139"/>
      <c r="W60" s="1139"/>
      <c r="X60" s="1139"/>
      <c r="Y60" s="1139"/>
      <c r="Z60" s="532"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2207</v>
      </c>
      <c r="V61" s="1139"/>
      <c r="W61" s="1139"/>
      <c r="X61" s="1139"/>
      <c r="Y61" s="1139"/>
      <c r="Z61" s="532"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2208</v>
      </c>
      <c r="V62" s="1139"/>
      <c r="W62" s="1139"/>
      <c r="X62" s="1139"/>
      <c r="Y62" s="1139"/>
      <c r="Z62" s="532"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2209</v>
      </c>
      <c r="V63" s="1015"/>
      <c r="W63" s="1015"/>
      <c r="X63" s="1015"/>
      <c r="Y63" s="1015"/>
      <c r="Z63" s="532"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x7DN+oq1yoqzfghcKKqc2Z17HTuS0zZgRDpBBZYIxdy/wiI017ehi8PupDf3eolw29oTOsG1MGb/o9G1nPnCQ==" saltValue="em5enoeBPnb3C+bi2sbodg=="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2" t="s">
        <v>253</v>
      </c>
      <c r="B2" s="1200" t="s">
        <v>254</v>
      </c>
      <c r="C2" s="1201"/>
      <c r="D2" s="1201"/>
      <c r="E2" s="1202"/>
      <c r="F2" s="1203" t="s">
        <v>255</v>
      </c>
      <c r="G2" s="1204"/>
      <c r="H2" s="1205"/>
      <c r="I2" s="1182" t="s">
        <v>256</v>
      </c>
      <c r="J2" s="1184"/>
      <c r="K2" s="1207" t="s">
        <v>257</v>
      </c>
      <c r="L2" s="1208"/>
      <c r="M2" s="1208"/>
      <c r="N2" s="1208"/>
      <c r="O2" s="1208"/>
      <c r="P2" s="1208"/>
      <c r="Q2" s="1208"/>
      <c r="R2" s="1208"/>
      <c r="S2" s="1208"/>
      <c r="T2" s="1208"/>
      <c r="U2" s="1208"/>
      <c r="V2" s="1208"/>
      <c r="W2" s="1208"/>
      <c r="X2" s="1208"/>
      <c r="Y2" s="1208"/>
      <c r="Z2" s="1208"/>
      <c r="AA2" s="1208"/>
      <c r="AB2" s="1209"/>
      <c r="AC2" s="1197" t="s">
        <v>258</v>
      </c>
      <c r="AD2" s="7"/>
      <c r="AE2" s="1182" t="s">
        <v>253</v>
      </c>
      <c r="AF2" s="1182" t="s">
        <v>2269</v>
      </c>
      <c r="AG2" s="1183"/>
      <c r="AH2" s="1184"/>
      <c r="AJ2" s="9" t="s">
        <v>260</v>
      </c>
      <c r="AK2" s="10" t="s">
        <v>260</v>
      </c>
      <c r="AM2" s="11" t="s">
        <v>204</v>
      </c>
      <c r="AO2" s="11" t="s">
        <v>18</v>
      </c>
      <c r="AQ2" s="12" t="s">
        <v>261</v>
      </c>
      <c r="AS2" s="1190" t="s">
        <v>2146</v>
      </c>
      <c r="AT2" s="1193" t="s">
        <v>259</v>
      </c>
    </row>
    <row r="3" spans="1:46" ht="51.75" customHeight="1" thickBot="1">
      <c r="A3" s="1185"/>
      <c r="B3" s="1210" t="s">
        <v>263</v>
      </c>
      <c r="C3" s="1211"/>
      <c r="D3" s="1211"/>
      <c r="E3" s="1212"/>
      <c r="F3" s="1210" t="s">
        <v>264</v>
      </c>
      <c r="G3" s="1211"/>
      <c r="H3" s="1212"/>
      <c r="I3" s="1196"/>
      <c r="J3" s="1206"/>
      <c r="K3" s="1213" t="s">
        <v>265</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266</v>
      </c>
      <c r="AK3" s="14" t="s">
        <v>266</v>
      </c>
      <c r="AM3" s="15"/>
      <c r="AO3" s="15"/>
      <c r="AQ3" s="16" t="s">
        <v>20</v>
      </c>
      <c r="AS3" s="1191"/>
      <c r="AT3" s="1194"/>
    </row>
    <row r="4" spans="1:46" ht="41.25" customHeight="1" thickBot="1">
      <c r="A4" s="1196"/>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99"/>
      <c r="AD4" s="7"/>
      <c r="AE4" s="1196"/>
      <c r="AF4" s="1185"/>
      <c r="AG4" s="1186"/>
      <c r="AH4" s="1187"/>
      <c r="AJ4" s="13" t="s">
        <v>277</v>
      </c>
      <c r="AK4" s="14" t="s">
        <v>277</v>
      </c>
      <c r="AQ4" s="16" t="s">
        <v>273</v>
      </c>
      <c r="AS4" s="1192"/>
      <c r="AT4" s="119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2279</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2280</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8" t="s">
        <v>254</v>
      </c>
      <c r="C3" s="1217" t="s">
        <v>255</v>
      </c>
      <c r="D3" s="1217" t="s">
        <v>256</v>
      </c>
      <c r="E3" s="1217" t="s">
        <v>262</v>
      </c>
      <c r="F3" s="1219" t="s">
        <v>2215</v>
      </c>
      <c r="G3" s="1217" t="s">
        <v>2260</v>
      </c>
      <c r="H3" s="1217"/>
      <c r="I3" s="1217" t="s">
        <v>2261</v>
      </c>
      <c r="J3" s="1217"/>
      <c r="K3" s="1217" t="s">
        <v>2262</v>
      </c>
      <c r="L3" s="1217"/>
      <c r="M3" s="1216" t="s">
        <v>2185</v>
      </c>
      <c r="N3" s="1216" t="s">
        <v>2186</v>
      </c>
      <c r="O3" s="1216" t="s">
        <v>2187</v>
      </c>
      <c r="P3" s="1216" t="s">
        <v>2188</v>
      </c>
      <c r="Q3" s="1216" t="s">
        <v>2189</v>
      </c>
      <c r="R3" s="1216" t="s">
        <v>2190</v>
      </c>
      <c r="S3" s="1216" t="s">
        <v>2191</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2291</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S1" s="1174" t="str">
        <f>B9&amp;G9&amp;L9</f>
        <v>処遇加算Ⅰ特定加算Ⅱベア加算なし</v>
      </c>
      <c r="AT1" s="1175"/>
      <c r="AU1" s="1175"/>
      <c r="AV1" s="1175"/>
      <c r="AW1" s="1175"/>
      <c r="AX1" s="1175"/>
      <c r="AY1" s="1175"/>
      <c r="AZ1" s="1175"/>
      <c r="BA1" s="1175"/>
      <c r="BB1" s="1175"/>
      <c r="BC1" s="1175"/>
      <c r="BD1" s="1175"/>
      <c r="BE1" s="1176"/>
      <c r="BF1" s="1173" t="str">
        <f>IFERROR(VLOOKUP(Y5,【参考】数式用!$AJ$2:$AK$24,2,FALSE),"")</f>
        <v>訪問介護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1334567890</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11.4</v>
      </c>
      <c r="Q5" s="1128"/>
      <c r="R5" s="1128"/>
      <c r="S5" s="1129" t="s">
        <v>7</v>
      </c>
      <c r="T5" s="1130"/>
      <c r="U5" s="1130"/>
      <c r="V5" s="1130"/>
      <c r="W5" s="1130"/>
      <c r="X5" s="1131"/>
      <c r="Y5" s="1145" t="s">
        <v>260</v>
      </c>
      <c r="Z5" s="1145"/>
      <c r="AA5" s="1145"/>
      <c r="AB5" s="1145"/>
      <c r="AC5" s="1145"/>
      <c r="AD5" s="1145"/>
      <c r="AE5" s="1151">
        <v>225000</v>
      </c>
      <c r="AF5" s="1152"/>
      <c r="AG5" s="1152"/>
      <c r="AH5" s="1153"/>
      <c r="AI5" s="1151">
        <v>40000</v>
      </c>
      <c r="AJ5" s="1152"/>
      <c r="AK5" s="1152"/>
      <c r="AL5" s="1153"/>
      <c r="AM5" s="1154">
        <f>AE5-AI5</f>
        <v>185000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補助金を取得する場合、４月からベア加算の算定が必要。その場合、６月以降は自然と新加算Ⅱに移行可能。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9</v>
      </c>
      <c r="C9" s="1094"/>
      <c r="D9" s="1094"/>
      <c r="E9" s="1094"/>
      <c r="F9" s="1095"/>
      <c r="G9" s="1096" t="s">
        <v>10</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0.224</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0.13700000000000001</v>
      </c>
      <c r="C10" s="1103"/>
      <c r="D10" s="1103"/>
      <c r="E10" s="1103"/>
      <c r="F10" s="1104"/>
      <c r="G10" s="1102">
        <f>IFERROR(VLOOKUP(Y5,【参考】数式用!$A$5:$J$27,MATCH(G9,【参考】数式用!$B$4:$J$4,0)+1,0),"")</f>
        <v>4.2000000000000003E-2</v>
      </c>
      <c r="H10" s="1103"/>
      <c r="I10" s="1103"/>
      <c r="J10" s="1103"/>
      <c r="K10" s="1104"/>
      <c r="L10" s="1102">
        <f>IFERROR(VLOOKUP(Y5,【参考】数式用!$A$5:$J$27,MATCH(L9,【参考】数式用!$B$4:$J$4,0)+1,0),"")</f>
        <v>0</v>
      </c>
      <c r="M10" s="1103"/>
      <c r="N10" s="1103"/>
      <c r="O10" s="1103"/>
      <c r="P10" s="1104"/>
      <c r="Q10" s="1017">
        <f>SUM(B10,G10,L10)</f>
        <v>0.17900000000000002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新加算Ⅴ(３)</v>
      </c>
      <c r="W11" s="1122"/>
      <c r="X11" s="1122"/>
      <c r="Y11" s="1122"/>
      <c r="Z11" s="1122"/>
      <c r="AA11" s="1147" t="str">
        <f>IFERROR(VLOOKUP(AS1,【参考】数式用2!E6:L23,6,FALSE),"")</f>
        <v>４月からベア加算を算定せず、６月から月額賃金改善要件Ⅱも満たさない場合、Ⅴ(３)となる。なお、R7年度以降は月額賃金改善要件Ⅱが必要。</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0.2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f>IFERROR(VLOOKUP(AS1,【参考】数式用2!E6:L23,8,FALSE),"")</f>
        <v>0</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0</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2223</v>
      </c>
      <c r="C40" s="1042"/>
      <c r="D40" s="1042"/>
      <c r="E40" s="1042"/>
      <c r="F40" s="1042"/>
      <c r="G40" s="1043" t="str">
        <f>IFERROR(VLOOKUP(Y5,【参考】数式用!AS5:AT27,2,0),"")</f>
        <v>　特定事業所加算ⅠまたはⅡを算定する。</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IFERROR(IF(G9="","",IF(AND(AH61=1,AH62=1,AH63=1),"特定加算Ⅰ",IF(AND(AH61=1,AH62=2,AH63=1),"特定加算Ⅱ",IF(OR(AH61=2,AH62=2,AH63=2),"特定加算なし","")))),"")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0.13700000000000001</v>
      </c>
      <c r="H50" s="1084"/>
      <c r="I50" s="1084"/>
      <c r="J50" s="1084"/>
      <c r="K50" s="1085"/>
      <c r="L50" s="1083">
        <f>IFERROR(VLOOKUP(Y5,【参考】数式用!$A$5:$J$27,MATCH(L49,【参考】数式用!$B$4:$J$4,0)+1,0),"")</f>
        <v>4.2000000000000003E-2</v>
      </c>
      <c r="M50" s="1084"/>
      <c r="N50" s="1084"/>
      <c r="O50" s="1084"/>
      <c r="P50" s="1086"/>
      <c r="Q50" s="1087">
        <f>IFERROR(VLOOKUP(Y5,【参考】数式用!$A$5:$J$27,MATCH(Q49,【参考】数式用!$B$4:$J$4,0)+1,0),"")</f>
        <v>2.4E-2</v>
      </c>
      <c r="R50" s="1084"/>
      <c r="S50" s="1084"/>
      <c r="T50" s="1084"/>
      <c r="U50" s="1086"/>
      <c r="V50" s="1017">
        <f>SUM(G50,L50,Q50)</f>
        <v>0.20300000000000001</v>
      </c>
      <c r="W50" s="1018"/>
      <c r="X50" s="1018"/>
      <c r="Y50" s="1018"/>
      <c r="Z50" s="1018"/>
      <c r="AA50" s="1024"/>
      <c r="AB50" s="1024"/>
      <c r="AC50" s="1019">
        <f>IFERROR(VLOOKUP(Y5,【参考】数式用!$A$5:$AB$27,MATCH(AC49,【参考】数式用!$B$4:$AB$4,0)+1,FALSE),"")</f>
        <v>0.224</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577866</v>
      </c>
      <c r="H51" s="1011"/>
      <c r="I51" s="1011"/>
      <c r="J51" s="1011"/>
      <c r="K51" s="148" t="s">
        <v>2289</v>
      </c>
      <c r="L51" s="1066">
        <f>IFERROR(ROUNDDOWN(ROUND(AM5*L50,0)*P5,0)*H53,"")</f>
        <v>177156</v>
      </c>
      <c r="M51" s="1011"/>
      <c r="N51" s="1011"/>
      <c r="O51" s="1011"/>
      <c r="P51" s="148" t="s">
        <v>2289</v>
      </c>
      <c r="Q51" s="1066">
        <f>IFERROR(ROUNDDOWN(ROUND(AM5*Q50,0)*P5,0)*H53,"")</f>
        <v>101232</v>
      </c>
      <c r="R51" s="1011"/>
      <c r="S51" s="1011"/>
      <c r="T51" s="1011"/>
      <c r="U51" s="149" t="s">
        <v>2289</v>
      </c>
      <c r="V51" s="1067">
        <f>IFERROR(SUM(G51,L51,Q51),"")</f>
        <v>856254</v>
      </c>
      <c r="W51" s="1068"/>
      <c r="X51" s="1068"/>
      <c r="Y51" s="1068"/>
      <c r="Z51" s="150" t="s">
        <v>2289</v>
      </c>
      <c r="AB51" s="151"/>
      <c r="AC51" s="1066">
        <f>IFERROR(ROUNDDOWN(ROUND(AM5*AC50,0)*P5,0)*AD53,"")</f>
        <v>4724160</v>
      </c>
      <c r="AD51" s="1011"/>
      <c r="AE51" s="1011"/>
      <c r="AF51" s="1011"/>
      <c r="AG51" s="1011"/>
      <c r="AH51" s="149" t="s">
        <v>2289</v>
      </c>
      <c r="AS51" s="1014">
        <f>IFERROR(ROUNDDOWN(ROUND(AM5*(G50-B10),0)*P5,0)*H53,"")</f>
        <v>0</v>
      </c>
      <c r="AT51" s="1014"/>
      <c r="AU51" s="1014"/>
      <c r="AV51" s="1014"/>
      <c r="AW51" s="1014">
        <f>IFERROR(ROUNDDOWN(ROUND(AM5*(L50-G10),0)*P5,0)*H53,"")</f>
        <v>0</v>
      </c>
      <c r="AX51" s="1014"/>
      <c r="AY51" s="1014"/>
      <c r="AZ51" s="1014"/>
      <c r="BA51" s="1014">
        <f>IFERROR(ROUNDDOWN(ROUND(AM5*(Q50-L10),0)*P5,0)*H53,"")</f>
        <v>101232</v>
      </c>
      <c r="BB51" s="1014"/>
      <c r="BC51" s="1014"/>
      <c r="BD51" s="1014"/>
      <c r="BE51" s="1014">
        <f>IFERROR(ROUNDDOWN(ROUND(AM5*(AC50-Q10),0)*P5,0)*AD53,"")</f>
        <v>949050</v>
      </c>
      <c r="BF51" s="1014"/>
      <c r="BG51" s="1014"/>
      <c r="BH51" s="1014"/>
      <c r="BI51" s="1014">
        <f>SUM(AS51:BH51)</f>
        <v>1050282</v>
      </c>
      <c r="BJ51" s="1014"/>
      <c r="BK51" s="1014"/>
      <c r="BL51" s="1014"/>
      <c r="BM51" s="241"/>
      <c r="BN51" s="1014">
        <f>IFERROR(ROUNDDOWN(ROUNDDOWN(ROUND(AM5*(VLOOKUP(Y5,【参考】数式用!$A$5:$AB$27,14,FALSE)),0)*P5,0)*AD53*0.5,0),"")</f>
        <v>1529025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(288,933円/月)</v>
      </c>
      <c r="H52" s="1013"/>
      <c r="I52" s="1013"/>
      <c r="J52" s="1013"/>
      <c r="K52" s="1013"/>
      <c r="L52" s="1013" t="str">
        <f>IFERROR("("&amp;TEXT(L51/H53,"#,##0円")&amp;"/月)","")</f>
        <v>(88,578円/月)</v>
      </c>
      <c r="M52" s="1013"/>
      <c r="N52" s="1013"/>
      <c r="O52" s="1013"/>
      <c r="P52" s="1013"/>
      <c r="Q52" s="1013" t="str">
        <f>IFERROR("("&amp;TEXT(Q51/H53,"#,##0円")&amp;"/月)","")</f>
        <v>(50,616円/月)</v>
      </c>
      <c r="R52" s="1013"/>
      <c r="S52" s="1013"/>
      <c r="T52" s="1013"/>
      <c r="U52" s="1013"/>
      <c r="V52" s="1013" t="str">
        <f>IFERROR("("&amp;TEXT(V51/H53,"#,##0円")&amp;"/月)","")</f>
        <v>(428,127円/月)</v>
      </c>
      <c r="W52" s="1013"/>
      <c r="X52" s="1013"/>
      <c r="Y52" s="1013"/>
      <c r="Z52" s="1013"/>
      <c r="AB52" s="151"/>
      <c r="AC52" s="1165" t="str">
        <f>IFERROR("("&amp;TEXT(AC51/AD53,"#,##0円")&amp;"/月)","")</f>
        <v>(472,416円/月)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252">
        <f>IF(AND(B9&lt;&gt;"処遇加算なし",F15=4),IF(V21="✓",1,IF(V22="✓",2,"")),"")</f>
        <v>2</v>
      </c>
      <c r="AA57" s="245"/>
      <c r="AB57" s="249"/>
      <c r="AC57" s="1015" t="s">
        <v>2203</v>
      </c>
      <c r="AD57" s="1015"/>
      <c r="AE57" s="1015"/>
      <c r="AF57" s="1015"/>
      <c r="AG57" s="1015"/>
      <c r="AH57" s="170">
        <v>1</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252">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252">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252">
        <f>IF(AND(B9&lt;&gt;"処遇加算なし",F15=4),IF(V32="✓",1,IF(V33="✓",2,"")),"")</f>
        <v>1</v>
      </c>
      <c r="AA60" s="245"/>
      <c r="AB60" s="249"/>
      <c r="AC60" s="1139" t="s">
        <v>2206</v>
      </c>
      <c r="AD60" s="1139"/>
      <c r="AE60" s="1139"/>
      <c r="AF60" s="1139"/>
      <c r="AG60" s="1139"/>
      <c r="AH60" s="170">
        <v>1</v>
      </c>
      <c r="AI60" s="253"/>
      <c r="AJ60" s="249"/>
      <c r="AK60" s="1139" t="s">
        <v>2206</v>
      </c>
      <c r="AL60" s="1139"/>
      <c r="AM60" s="1139"/>
      <c r="AN60" s="1139"/>
      <c r="AO60" s="1139"/>
      <c r="AP60" s="170">
        <v>1</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252">
        <f>IF(AND(B9&lt;&gt;"処遇加算なし",F15=4),IF(V36="✓",1,IF(V37="✓",2,"")),"")</f>
        <v>1</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252">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252">
        <f>IF(AND(B9&lt;&gt;"処遇加算なし",F15=4),IF(V44="✓",1,IF(V45="✓",2,"")),"")</f>
        <v>1</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JTGiBlQ3+9UMJfZ4cRUb0JnKqGXHjq+nr8kKCN6eMj/RMMxGJBRI1SY1HmA1tr0JycPh83+wcO/nqHRjSl0gQ==" saltValue="vwi8rDK1igtQyUekOioWWg=="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2423</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S1" s="1174" t="str">
        <f>B9&amp;G9&amp;L9</f>
        <v>処遇加算Ⅱ特定加算なしベア加算</v>
      </c>
      <c r="AT1" s="1175"/>
      <c r="AU1" s="1175"/>
      <c r="AV1" s="1175"/>
      <c r="AW1" s="1175"/>
      <c r="AX1" s="1175"/>
      <c r="AY1" s="1175"/>
      <c r="AZ1" s="1175"/>
      <c r="BA1" s="1175"/>
      <c r="BB1" s="1175"/>
      <c r="BC1" s="1175"/>
      <c r="BD1" s="1175"/>
      <c r="BE1" s="1176"/>
      <c r="BF1" s="1173" t="str">
        <f>IFERROR(VLOOKUP(Y5,【参考】数式用!$AJ$2:$AK$24,2,FALSE),"")</f>
        <v>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f>IF(AND(L9="ベア加算",Q49="ベア加算"),1,"")</f>
        <v>1</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1334567891</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2431</v>
      </c>
      <c r="T5" s="1130"/>
      <c r="U5" s="1130"/>
      <c r="V5" s="1130"/>
      <c r="W5" s="1130"/>
      <c r="X5" s="1131"/>
      <c r="Y5" s="1145" t="s">
        <v>281</v>
      </c>
      <c r="Z5" s="1145"/>
      <c r="AA5" s="1145"/>
      <c r="AB5" s="1145"/>
      <c r="AC5" s="1145"/>
      <c r="AD5" s="1145"/>
      <c r="AE5" s="1151">
        <v>385000</v>
      </c>
      <c r="AF5" s="1152"/>
      <c r="AG5" s="1152"/>
      <c r="AH5" s="1153"/>
      <c r="AI5" s="1151">
        <v>80000</v>
      </c>
      <c r="AJ5" s="1152"/>
      <c r="AK5" s="1152"/>
      <c r="AL5" s="1153"/>
      <c r="AM5" s="1154">
        <f>AE5-AI5</f>
        <v>305000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267</v>
      </c>
      <c r="C9" s="1094"/>
      <c r="D9" s="1094"/>
      <c r="E9" s="1094"/>
      <c r="F9" s="1095"/>
      <c r="G9" s="1096" t="s">
        <v>13</v>
      </c>
      <c r="H9" s="1097"/>
      <c r="I9" s="1097"/>
      <c r="J9" s="1097"/>
      <c r="K9" s="1098"/>
      <c r="L9" s="1099" t="s">
        <v>15</v>
      </c>
      <c r="M9" s="1100"/>
      <c r="N9" s="1100"/>
      <c r="O9" s="1100"/>
      <c r="P9" s="1101"/>
      <c r="Q9" s="1088" t="s">
        <v>2200</v>
      </c>
      <c r="R9" s="1089"/>
      <c r="S9" s="1089"/>
      <c r="T9" s="1022"/>
      <c r="U9" s="1023"/>
      <c r="V9" s="1135">
        <f>IFERROR(VLOOKUP(Y5,【参考】数式用!$A$5:$AB$27,MATCH(V8,【参考】数式用!$B$4:$AB$4,0)+1,FALSE),"")</f>
        <v>8.9999999999999983E-2</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4.2999999999999997E-2</v>
      </c>
      <c r="C10" s="1103"/>
      <c r="D10" s="1103"/>
      <c r="E10" s="1103"/>
      <c r="F10" s="1104"/>
      <c r="G10" s="1102">
        <f>IFERROR(VLOOKUP(Y5,【参考】数式用!$A$5:$J$27,MATCH(G9,【参考】数式用!$B$4:$J$4,0)+1,0),"")</f>
        <v>0</v>
      </c>
      <c r="H10" s="1103"/>
      <c r="I10" s="1103"/>
      <c r="J10" s="1103"/>
      <c r="K10" s="1104"/>
      <c r="L10" s="1102">
        <f>IFERROR(VLOOKUP(Y5,【参考】数式用!$A$5:$J$27,MATCH(L9,【参考】数式用!$B$4:$J$4,0)+1,0),"")</f>
        <v>1.0999999999999999E-2</v>
      </c>
      <c r="M10" s="1103"/>
      <c r="N10" s="1103"/>
      <c r="O10" s="1103"/>
      <c r="P10" s="1104"/>
      <c r="Q10" s="1017">
        <f>SUM(B10,G10,L10)</f>
        <v>5.3999999999999992E-2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新加算Ⅲ</v>
      </c>
      <c r="W11" s="1122"/>
      <c r="X11" s="1122"/>
      <c r="Y11" s="1122"/>
      <c r="Z11" s="1122"/>
      <c r="AA11" s="1147" t="str">
        <f>IFERROR(VLOOKUP(AS1,【参考】数式用2!E6:L23,6,FALSE),"")</f>
        <v>キャリアパス要件Ⅲを「R6年度中の対応の誓約」で満たし、４月から旧処遇加算Ⅰを算定可。その場合、６月以降は自然と新加算Ⅲに移行可能。</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7.9999999999999988E-2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新加算Ⅳ</v>
      </c>
      <c r="W14" s="1122"/>
      <c r="X14" s="1122"/>
      <c r="Y14" s="1122"/>
      <c r="Z14" s="1122"/>
      <c r="AA14" s="1157"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6.3999999999999987E-2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t="s">
        <v>2271</v>
      </c>
      <c r="AE41" s="1048"/>
      <c r="AF41" s="1048"/>
      <c r="AG41" s="1048"/>
      <c r="AH41" s="1049"/>
      <c r="AI41" s="1022"/>
      <c r="AJ41" s="1023"/>
      <c r="AK41" s="234" t="s">
        <v>90</v>
      </c>
      <c r="AL41" s="1047" t="s">
        <v>2271</v>
      </c>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IFERROR(IF(G9="","",IF(AND(AH61=1,AH62=1,AH63=1),"特定加算Ⅰ",IF(AND(AH61=1,AH62=2,AH63=1),"特定加算Ⅱ",IF(OR(AH61=2,AH62=2,AH63=2),"特定加算なし","")))),"")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5.8999999999999997E-2</v>
      </c>
      <c r="H50" s="1084"/>
      <c r="I50" s="1084"/>
      <c r="J50" s="1084"/>
      <c r="K50" s="1085"/>
      <c r="L50" s="1083">
        <f>IFERROR(VLOOKUP(Y5,【参考】数式用!$A$5:$J$27,MATCH(L49,【参考】数式用!$B$4:$J$4,0)+1,0),"")</f>
        <v>0.01</v>
      </c>
      <c r="M50" s="1084"/>
      <c r="N50" s="1084"/>
      <c r="O50" s="1084"/>
      <c r="P50" s="1086"/>
      <c r="Q50" s="1087">
        <f>IFERROR(VLOOKUP(Y5,【参考】数式用!$A$5:$J$27,MATCH(Q49,【参考】数式用!$B$4:$J$4,0)+1,0),"")</f>
        <v>1.0999999999999999E-2</v>
      </c>
      <c r="R50" s="1084"/>
      <c r="S50" s="1084"/>
      <c r="T50" s="1084"/>
      <c r="U50" s="1086"/>
      <c r="V50" s="1017">
        <f>SUM(G50,L50,Q50)</f>
        <v>7.9999999999999988E-2</v>
      </c>
      <c r="W50" s="1018"/>
      <c r="X50" s="1018"/>
      <c r="Y50" s="1018"/>
      <c r="Z50" s="1018"/>
      <c r="AA50" s="1024"/>
      <c r="AB50" s="1024"/>
      <c r="AC50" s="1019">
        <f>IFERROR(VLOOKUP(Y5,【参考】数式用!$A$5:$AB$27,MATCH(AC49,【参考】数式用!$B$4:$AB$4,0)+1,FALSE),"")</f>
        <v>8.9999999999999983E-2</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392290</v>
      </c>
      <c r="H51" s="1011"/>
      <c r="I51" s="1011"/>
      <c r="J51" s="1011"/>
      <c r="K51" s="148" t="s">
        <v>2289</v>
      </c>
      <c r="L51" s="1066">
        <f>IFERROR(ROUNDDOWN(ROUND(AM5*L50,0)*P5,0)*H53,"")</f>
        <v>66490</v>
      </c>
      <c r="M51" s="1011"/>
      <c r="N51" s="1011"/>
      <c r="O51" s="1011"/>
      <c r="P51" s="148" t="s">
        <v>2289</v>
      </c>
      <c r="Q51" s="1066">
        <f>IFERROR(ROUNDDOWN(ROUND(AM5*Q50,0)*P5,0)*H53,"")</f>
        <v>73138</v>
      </c>
      <c r="R51" s="1011"/>
      <c r="S51" s="1011"/>
      <c r="T51" s="1011"/>
      <c r="U51" s="149" t="s">
        <v>2289</v>
      </c>
      <c r="V51" s="1067">
        <f>IFERROR(SUM(G51,L51,Q51),"")</f>
        <v>531918</v>
      </c>
      <c r="W51" s="1068"/>
      <c r="X51" s="1068"/>
      <c r="Y51" s="1068"/>
      <c r="Z51" s="150" t="s">
        <v>2289</v>
      </c>
      <c r="AB51" s="151"/>
      <c r="AC51" s="1066">
        <f>IFERROR(ROUNDDOWN(ROUND(AM5*AC50,0)*P5,0)*AD53,"")</f>
        <v>2992050</v>
      </c>
      <c r="AD51" s="1011"/>
      <c r="AE51" s="1011"/>
      <c r="AF51" s="1011"/>
      <c r="AG51" s="1011"/>
      <c r="AH51" s="149" t="s">
        <v>2289</v>
      </c>
      <c r="AS51" s="1014">
        <f>IFERROR(ROUNDDOWN(ROUND(AM5*(G50-B10),0)*P5,0)*H53,"")</f>
        <v>106384</v>
      </c>
      <c r="AT51" s="1014"/>
      <c r="AU51" s="1014"/>
      <c r="AV51" s="1014"/>
      <c r="AW51" s="1014">
        <f>IFERROR(ROUNDDOWN(ROUND(AM5*(L50-G10),0)*P5,0)*H53,"")</f>
        <v>66490</v>
      </c>
      <c r="AX51" s="1014"/>
      <c r="AY51" s="1014"/>
      <c r="AZ51" s="1014"/>
      <c r="BA51" s="1014">
        <f>IFERROR(ROUNDDOWN(ROUND(AM5*(Q50-L10),0)*P5,0)*H53,"")</f>
        <v>0</v>
      </c>
      <c r="BB51" s="1014"/>
      <c r="BC51" s="1014"/>
      <c r="BD51" s="1014"/>
      <c r="BE51" s="1014">
        <f>IFERROR(ROUNDDOWN(ROUND(AM5*(AC50-Q10),0)*P5,0)*AD53,"")</f>
        <v>1196820</v>
      </c>
      <c r="BF51" s="1014"/>
      <c r="BG51" s="1014"/>
      <c r="BH51" s="1014"/>
      <c r="BI51" s="1014">
        <f>SUM(AS51:BH51)</f>
        <v>1369694</v>
      </c>
      <c r="BJ51" s="1014"/>
      <c r="BK51" s="1014"/>
      <c r="BL51" s="1014"/>
      <c r="BM51" s="241"/>
      <c r="BN51" s="1014">
        <f>IFERROR(ROUNDDOWN(ROUNDDOWN(ROUND(AM5*(VLOOKUP(Y5,【参考】数式用!$A$5:$AB$27,14,FALSE)),0)*P5,0)*AD53*0.5,0),"")</f>
        <v>1063840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(196,145円/月)</v>
      </c>
      <c r="H52" s="1013"/>
      <c r="I52" s="1013"/>
      <c r="J52" s="1013"/>
      <c r="K52" s="1013"/>
      <c r="L52" s="1013" t="str">
        <f>IFERROR("("&amp;TEXT(L51/H53,"#,##0円")&amp;"/月)","")</f>
        <v>(33,245円/月)</v>
      </c>
      <c r="M52" s="1013"/>
      <c r="N52" s="1013"/>
      <c r="O52" s="1013"/>
      <c r="P52" s="1013"/>
      <c r="Q52" s="1013" t="str">
        <f>IFERROR("("&amp;TEXT(Q51/H53,"#,##0円")&amp;"/月)","")</f>
        <v>(36,569円/月)</v>
      </c>
      <c r="R52" s="1013"/>
      <c r="S52" s="1013"/>
      <c r="T52" s="1013"/>
      <c r="U52" s="1013"/>
      <c r="V52" s="1013" t="str">
        <f>IFERROR("("&amp;TEXT(V51/H53,"#,##0円")&amp;"/月)","")</f>
        <v>(265,959円/月)</v>
      </c>
      <c r="W52" s="1013"/>
      <c r="X52" s="1013"/>
      <c r="Y52" s="1013"/>
      <c r="Z52" s="1013"/>
      <c r="AB52" s="151"/>
      <c r="AC52" s="1165" t="str">
        <f>IFERROR("("&amp;TEXT(AC51/AD53,"#,##0円")&amp;"/月)","")</f>
        <v>(299,205円/月)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527">
        <f>IF(AND(B9&lt;&gt;"処遇加算なし",F15=4),IF(V21="✓",1,IF(V22="✓",2,"")),"")</f>
        <v>1</v>
      </c>
      <c r="AA57" s="245"/>
      <c r="AB57" s="249"/>
      <c r="AC57" s="1015" t="s">
        <v>2203</v>
      </c>
      <c r="AD57" s="1015"/>
      <c r="AE57" s="1015"/>
      <c r="AF57" s="1015"/>
      <c r="AG57" s="1015"/>
      <c r="AH57" s="170">
        <v>0</v>
      </c>
      <c r="AI57" s="253"/>
      <c r="AJ57" s="249"/>
      <c r="AK57" s="1015" t="s">
        <v>2203</v>
      </c>
      <c r="AL57" s="1015"/>
      <c r="AM57" s="1015"/>
      <c r="AN57" s="1015"/>
      <c r="AO57" s="1015"/>
      <c r="AP57" s="170">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527">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527">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527">
        <f>IF(AND(B9&lt;&gt;"処遇加算なし",F15=4),IF(V32="✓",1,IF(V33="✓",2,"")),"")</f>
        <v>2</v>
      </c>
      <c r="AA60" s="245"/>
      <c r="AB60" s="249"/>
      <c r="AC60" s="1139" t="s">
        <v>2206</v>
      </c>
      <c r="AD60" s="1139"/>
      <c r="AE60" s="1139"/>
      <c r="AF60" s="1139"/>
      <c r="AG60" s="1139"/>
      <c r="AH60" s="170">
        <v>2</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527">
        <f>IF(AND(B9&lt;&gt;"処遇加算なし",F15=4),IF(V36="✓",1,IF(V37="✓",2,"")),"")</f>
        <v>2</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527">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527">
        <f>IF(AND(B9&lt;&gt;"処遇加算なし",F15=4),IF(V44="✓",1,IF(V45="✓",2,"")),"")</f>
        <v>2</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n6CLevlgLIWmAslrjuqFo2Czog8//FWCYsKpP5je4aXk91NjaM1+Tp72D0/nCr6RA8feOglklqj3ht8yMCEVg==" saltValue="z8FzCD8MIplhvf863JJJS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2432</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千代田区・中央区・港区</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地域密着型通所介護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1334567892</v>
      </c>
      <c r="C5" s="1123"/>
      <c r="D5" s="1123"/>
      <c r="E5" s="1123"/>
      <c r="F5" s="1123"/>
      <c r="G5" s="1124" t="s">
        <v>2436</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2435</v>
      </c>
      <c r="T5" s="1130"/>
      <c r="U5" s="1130"/>
      <c r="V5" s="1130"/>
      <c r="W5" s="1130"/>
      <c r="X5" s="1131"/>
      <c r="Y5" s="1145" t="s">
        <v>284</v>
      </c>
      <c r="Z5" s="1145"/>
      <c r="AA5" s="1145"/>
      <c r="AB5" s="1145"/>
      <c r="AC5" s="1145"/>
      <c r="AD5" s="1145"/>
      <c r="AE5" s="1151">
        <v>325000</v>
      </c>
      <c r="AF5" s="1152"/>
      <c r="AG5" s="1152"/>
      <c r="AH5" s="1153"/>
      <c r="AI5" s="1151">
        <v>0</v>
      </c>
      <c r="AJ5" s="1152"/>
      <c r="AK5" s="1152"/>
      <c r="AL5" s="1153"/>
      <c r="AM5" s="1154">
        <f>AE5-AI5</f>
        <v>325000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533">
        <v>10</v>
      </c>
      <c r="G15" s="530" t="s">
        <v>2284</v>
      </c>
      <c r="H15" s="1052" t="s">
        <v>2285</v>
      </c>
      <c r="I15" s="1052"/>
      <c r="J15" s="1065"/>
      <c r="K15" s="147">
        <v>7</v>
      </c>
      <c r="L15" s="530" t="s">
        <v>2283</v>
      </c>
      <c r="M15" s="147">
        <v>3</v>
      </c>
      <c r="N15" s="530" t="s">
        <v>2284</v>
      </c>
      <c r="O15" s="530" t="s">
        <v>2286</v>
      </c>
      <c r="P15" s="204">
        <f>(K15*12+M15)-(D15*12+F15)+1</f>
        <v>6</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
      </c>
      <c r="AD20" s="990"/>
      <c r="AE20" s="990"/>
      <c r="AF20" s="990"/>
      <c r="AG20" s="990"/>
      <c r="AH20" s="990"/>
      <c r="AI20" s="191"/>
      <c r="AJ20" s="191"/>
      <c r="AK20" s="990" t="str">
        <f>IF(OR(F15=4,F15=5),"R6.6","R"&amp;D15&amp;"."&amp;F15)&amp;"～R"&amp;K15&amp;"."&amp;M15</f>
        <v>R6.10～R7.3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サービス提供体制強化加算Ⅰ、Ⅱ、Ⅲイまたはロを算定する。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t="s">
        <v>2271</v>
      </c>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R6.10～R7.3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
      </c>
      <c r="BB48" s="1016"/>
      <c r="BC48" s="1016"/>
      <c r="BD48" s="1016"/>
      <c r="BE48" s="1140" t="str">
        <f>AS48&amp;AW48&amp;BA48</f>
        <v>処遇加算Ⅰ特定加算Ⅱ</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f>IFERROR(ROUNDDOWN(ROUNDDOWN(ROUND(AM5*(VLOOKUP(Y5,【参考】数式用!$A$5:$AB$27,14,FALSE)),0)*P5,0)*AD53*0.5,0),"")</f>
        <v>680160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
      </c>
      <c r="AD56" s="1140"/>
      <c r="AE56" s="1140"/>
      <c r="AF56" s="1140"/>
      <c r="AG56" s="1140"/>
      <c r="AH56" s="1140"/>
      <c r="AI56" s="250"/>
      <c r="AJ56" s="249"/>
      <c r="AK56" s="1140" t="str">
        <f>IF(OR(F15=4,F15=5),"R6.6","R"&amp;D15&amp;"."&amp;F15)&amp;"～R"&amp;K15&amp;"."&amp;M15</f>
        <v>R6.10～R7.3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534">
        <f>IF(AND(F15&lt;&gt;4,F15&lt;&gt;5),0,IF(AU8="○",1,3))</f>
        <v>0</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534">
        <f>IF(AND(F15&lt;&gt;4,F15&lt;&gt;5),0,IF(AV8="○",1,3))</f>
        <v>0</v>
      </c>
      <c r="AI59" s="253"/>
      <c r="AJ59" s="249"/>
      <c r="AK59" s="1139" t="s">
        <v>2205</v>
      </c>
      <c r="AL59" s="1139"/>
      <c r="AM59" s="1139"/>
      <c r="AN59" s="1139"/>
      <c r="AO59" s="1139"/>
      <c r="AP59" s="170">
        <v>2</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534">
        <f>IF(AND(F15&lt;&gt;4,F15&lt;&gt;5),0,IF(AW8="○",1,3))</f>
        <v>0</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534">
        <f>IF(AND(F15&lt;&gt;4,F15&lt;&gt;5),0,IF(AX8="○",1,2))</f>
        <v>0</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534">
        <f>IF(AND(F15&lt;&gt;4,F15&lt;&gt;5),0,IF(AY8="○",1,2))</f>
        <v>0</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534">
        <f>IF(AND(F15&lt;&gt;4,F15&lt;&gt;5),0,IF(AZ8="○",1,2))</f>
        <v>0</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nDVoZhSDsCQFDpNo6vYhiN6GjatPsn0vJbJA22q/bFbIn2PdV7eUZDUB8DWoqDUoQCt1VZIK0YqqhGIx02o/Q==" saltValue="kGidHE3Dm804MuO1Vdj3c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2424</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中央区</v>
      </c>
      <c r="AJ1" s="986"/>
      <c r="AK1" s="986"/>
      <c r="AL1" s="986"/>
      <c r="AM1" s="986"/>
      <c r="AN1" s="986"/>
      <c r="AO1" s="986"/>
      <c r="AP1" s="986"/>
      <c r="AS1" s="1174" t="str">
        <f>B9&amp;G9&amp;L9</f>
        <v>処遇加算Ⅲ特定加算なしベア加算なし</v>
      </c>
      <c r="AT1" s="1175"/>
      <c r="AU1" s="1175"/>
      <c r="AV1" s="1175"/>
      <c r="AW1" s="1175"/>
      <c r="AX1" s="1175"/>
      <c r="AY1" s="1175"/>
      <c r="AZ1" s="1175"/>
      <c r="BA1" s="1175"/>
      <c r="BB1" s="1175"/>
      <c r="BC1" s="1175"/>
      <c r="BD1" s="1175"/>
      <c r="BE1" s="1176"/>
      <c r="BF1" s="1173" t="str">
        <f>IFERROR(VLOOKUP(Y5,【参考】数式用!$AJ$2:$AK$24,2,FALSE),"")</f>
        <v>介護予防_小規模多機能型居宅介護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1334567893</v>
      </c>
      <c r="C5" s="1123"/>
      <c r="D5" s="1123"/>
      <c r="E5" s="1123"/>
      <c r="F5" s="1123"/>
      <c r="G5" s="1124" t="s">
        <v>2433</v>
      </c>
      <c r="H5" s="1124"/>
      <c r="I5" s="1124"/>
      <c r="J5" s="1125" t="s">
        <v>5</v>
      </c>
      <c r="K5" s="1125"/>
      <c r="L5" s="1125"/>
      <c r="M5" s="1126" t="s">
        <v>1320</v>
      </c>
      <c r="N5" s="1126"/>
      <c r="O5" s="1126"/>
      <c r="P5" s="1127">
        <f>IF(Y5="","",IFERROR(INDEX(【参考】数式用3!$G$3:$I$451,MATCH(M5,【参考】数式用3!$F$3:$F$451,0),MATCH(VLOOKUP(Y5,【参考】数式用3!$J$2:$K$26,2,FALSE),【参考】数式用3!$G$2:$I$2,0)),10))</f>
        <v>11.1</v>
      </c>
      <c r="Q5" s="1128"/>
      <c r="R5" s="1128"/>
      <c r="S5" s="1129" t="s">
        <v>2434</v>
      </c>
      <c r="T5" s="1130"/>
      <c r="U5" s="1130"/>
      <c r="V5" s="1130"/>
      <c r="W5" s="1130"/>
      <c r="X5" s="1131"/>
      <c r="Y5" s="1145" t="s">
        <v>292</v>
      </c>
      <c r="Z5" s="1145"/>
      <c r="AA5" s="1145"/>
      <c r="AB5" s="1145"/>
      <c r="AC5" s="1145"/>
      <c r="AD5" s="1145"/>
      <c r="AE5" s="1151">
        <v>425000</v>
      </c>
      <c r="AF5" s="1152"/>
      <c r="AG5" s="1152"/>
      <c r="AH5" s="1153"/>
      <c r="AI5" s="1151">
        <v>80000</v>
      </c>
      <c r="AJ5" s="1152"/>
      <c r="AK5" s="1152"/>
      <c r="AL5" s="1153"/>
      <c r="AM5" s="1154">
        <f>AE5-AI5</f>
        <v>345000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新加算Ⅳ</v>
      </c>
      <c r="W8" s="1133"/>
      <c r="X8" s="1133"/>
      <c r="Y8" s="1133"/>
      <c r="Z8" s="1134"/>
      <c r="AA8" s="1147"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t="s">
        <v>268</v>
      </c>
      <c r="C9" s="1094"/>
      <c r="D9" s="1094"/>
      <c r="E9" s="1094"/>
      <c r="F9" s="1095"/>
      <c r="G9" s="1096" t="s">
        <v>13</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0.106</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4.1000000000000002E-2</v>
      </c>
      <c r="C10" s="1103"/>
      <c r="D10" s="1103"/>
      <c r="E10" s="1103"/>
      <c r="F10" s="1104"/>
      <c r="G10" s="1102">
        <f>IFERROR(VLOOKUP(Y5,【参考】数式用!$A$5:$J$27,MATCH(G9,【参考】数式用!$B$4:$J$4,0)+1,0),"")</f>
        <v>0</v>
      </c>
      <c r="H10" s="1103"/>
      <c r="I10" s="1103"/>
      <c r="J10" s="1103"/>
      <c r="K10" s="1104"/>
      <c r="L10" s="1102">
        <f>IFERROR(VLOOKUP(Y5,【参考】数式用!$A$5:$J$27,MATCH(L9,【参考】数式用!$B$4:$J$4,0)+1,0),"")</f>
        <v>0</v>
      </c>
      <c r="M10" s="1103"/>
      <c r="N10" s="1103"/>
      <c r="O10" s="1103"/>
      <c r="P10" s="1104"/>
      <c r="Q10" s="1017">
        <f>SUM(B10,G10,L10)</f>
        <v>4.1000000000000002E-2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新加算Ⅴ(11)</v>
      </c>
      <c r="W11" s="1122"/>
      <c r="X11" s="1122"/>
      <c r="Y11" s="1122"/>
      <c r="Z11" s="1122"/>
      <c r="AA11" s="114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8.8999999999999996E-2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新加算Ⅴ(14)</v>
      </c>
      <c r="W14" s="1122"/>
      <c r="X14" s="1122"/>
      <c r="Y14" s="1122"/>
      <c r="Z14" s="1122"/>
      <c r="AA14" s="1157"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5.6000000000000001E-2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処遇加算Ⅱ</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ベア加算</v>
      </c>
      <c r="BB48" s="1016"/>
      <c r="BC48" s="1016"/>
      <c r="BD48" s="1016"/>
      <c r="BE48" s="1140" t="str">
        <f>AS48&amp;AW48&amp;BA48</f>
        <v>処遇加算Ⅱ特定加算なしベア加算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処遇加算Ⅱ</v>
      </c>
      <c r="H49" s="1027"/>
      <c r="I49" s="1027"/>
      <c r="J49" s="1027"/>
      <c r="K49" s="1028"/>
      <c r="L49" s="1026" t="str">
        <f>IFERROR(IF(G9="","",IF(AND(AH61=1,AH62=1,AH63=1),"特定加算Ⅰ",IF(AND(AH61=1,AH62=2,AH63=1),"特定加算Ⅱ",IF(OR(AH61=2,AH62=2,AH63=2),"特定加算なし","")))),"")</f>
        <v>特定加算なし</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新加算Ⅳ</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f>IFERROR(VLOOKUP(Y5,【参考】数式用!$A$5:$J$27,MATCH(G49,【参考】数式用!$B$4:$J$4,0)+1,0),"")</f>
        <v>7.3999999999999996E-2</v>
      </c>
      <c r="H50" s="1084"/>
      <c r="I50" s="1084"/>
      <c r="J50" s="1084"/>
      <c r="K50" s="1085"/>
      <c r="L50" s="1083">
        <f>IFERROR(VLOOKUP(Y5,【参考】数式用!$A$5:$J$27,MATCH(L49,【参考】数式用!$B$4:$J$4,0)+1,0),"")</f>
        <v>0</v>
      </c>
      <c r="M50" s="1084"/>
      <c r="N50" s="1084"/>
      <c r="O50" s="1084"/>
      <c r="P50" s="1086"/>
      <c r="Q50" s="1087">
        <f>IFERROR(VLOOKUP(Y5,【参考】数式用!$A$5:$J$27,MATCH(Q49,【参考】数式用!$B$4:$J$4,0)+1,0),"")</f>
        <v>1.7000000000000001E-2</v>
      </c>
      <c r="R50" s="1084"/>
      <c r="S50" s="1084"/>
      <c r="T50" s="1084"/>
      <c r="U50" s="1086"/>
      <c r="V50" s="1017">
        <f>SUM(G50,L50,Q50)</f>
        <v>9.0999999999999998E-2</v>
      </c>
      <c r="W50" s="1018"/>
      <c r="X50" s="1018"/>
      <c r="Y50" s="1018"/>
      <c r="Z50" s="1018"/>
      <c r="AA50" s="1024"/>
      <c r="AB50" s="1024"/>
      <c r="AC50" s="1019">
        <f>IFERROR(VLOOKUP(Y5,【参考】数式用!$A$5:$AB$27,MATCH(AC49,【参考】数式用!$B$4:$AB$4,0)+1,FALSE),"")</f>
        <v>0.106</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f>IFERROR(ROUNDDOWN(ROUND(AM5*G50,0)*P5,0)*H53,"")</f>
        <v>566766</v>
      </c>
      <c r="H51" s="1011"/>
      <c r="I51" s="1011"/>
      <c r="J51" s="1011"/>
      <c r="K51" s="148" t="s">
        <v>2289</v>
      </c>
      <c r="L51" s="1066">
        <f>IFERROR(ROUNDDOWN(ROUND(AM5*L50,0)*P5,0)*H53,"")</f>
        <v>0</v>
      </c>
      <c r="M51" s="1011"/>
      <c r="N51" s="1011"/>
      <c r="O51" s="1011"/>
      <c r="P51" s="148" t="s">
        <v>2289</v>
      </c>
      <c r="Q51" s="1066">
        <f>IFERROR(ROUNDDOWN(ROUND(AM5*Q50,0)*P5,0)*H53,"")</f>
        <v>130202</v>
      </c>
      <c r="R51" s="1011"/>
      <c r="S51" s="1011"/>
      <c r="T51" s="1011"/>
      <c r="U51" s="149" t="s">
        <v>2289</v>
      </c>
      <c r="V51" s="1067">
        <f>IFERROR(SUM(G51,L51,Q51),"")</f>
        <v>696968</v>
      </c>
      <c r="W51" s="1068"/>
      <c r="X51" s="1068"/>
      <c r="Y51" s="1068"/>
      <c r="Z51" s="150" t="s">
        <v>2289</v>
      </c>
      <c r="AB51" s="151"/>
      <c r="AC51" s="1066">
        <f>IFERROR(ROUNDDOWN(ROUND(AM5*AC50,0)*P5,0)*AD53,"")</f>
        <v>4059270</v>
      </c>
      <c r="AD51" s="1011"/>
      <c r="AE51" s="1011"/>
      <c r="AF51" s="1011"/>
      <c r="AG51" s="1011"/>
      <c r="AH51" s="149" t="s">
        <v>2289</v>
      </c>
      <c r="AS51" s="1014">
        <f>IFERROR(ROUNDDOWN(ROUND(AM5*(G50-B10),0)*P5,0)*H53,"")</f>
        <v>252746</v>
      </c>
      <c r="AT51" s="1014"/>
      <c r="AU51" s="1014"/>
      <c r="AV51" s="1014"/>
      <c r="AW51" s="1014">
        <f>IFERROR(ROUNDDOWN(ROUND(AM5*(L50-G10),0)*P5,0)*H53,"")</f>
        <v>0</v>
      </c>
      <c r="AX51" s="1014"/>
      <c r="AY51" s="1014"/>
      <c r="AZ51" s="1014"/>
      <c r="BA51" s="1014">
        <f>IFERROR(ROUNDDOWN(ROUND(AM5*(Q50-L10),0)*P5,0)*H53,"")</f>
        <v>130202</v>
      </c>
      <c r="BB51" s="1014"/>
      <c r="BC51" s="1014"/>
      <c r="BD51" s="1014"/>
      <c r="BE51" s="1014">
        <f>IFERROR(ROUNDDOWN(ROUND(AM5*(AC50-Q10),0)*P5,0)*AD53,"")</f>
        <v>2489170</v>
      </c>
      <c r="BF51" s="1014"/>
      <c r="BG51" s="1014"/>
      <c r="BH51" s="1014"/>
      <c r="BI51" s="1014">
        <f>SUM(AS51:BH51)</f>
        <v>2872118</v>
      </c>
      <c r="BJ51" s="1014"/>
      <c r="BK51" s="1014"/>
      <c r="BL51" s="1014"/>
      <c r="BM51" s="241"/>
      <c r="BN51" s="1014">
        <f>IFERROR(ROUNDDOWN(ROUNDDOWN(ROUND(AM5*(VLOOKUP(Y5,【参考】数式用!$A$5:$AB$27,14,FALSE)),0)*P5,0)*AD53*0.5,0),"")</f>
        <v>2029635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(283,383円/月)</v>
      </c>
      <c r="H52" s="1013"/>
      <c r="I52" s="1013"/>
      <c r="J52" s="1013"/>
      <c r="K52" s="1013"/>
      <c r="L52" s="1013" t="str">
        <f>IFERROR("("&amp;TEXT(L51/H53,"#,##0円")&amp;"/月)","")</f>
        <v>(0円/月)</v>
      </c>
      <c r="M52" s="1013"/>
      <c r="N52" s="1013"/>
      <c r="O52" s="1013"/>
      <c r="P52" s="1013"/>
      <c r="Q52" s="1013" t="str">
        <f>IFERROR("("&amp;TEXT(Q51/H53,"#,##0円")&amp;"/月)","")</f>
        <v>(65,101円/月)</v>
      </c>
      <c r="R52" s="1013"/>
      <c r="S52" s="1013"/>
      <c r="T52" s="1013"/>
      <c r="U52" s="1013"/>
      <c r="V52" s="1013" t="str">
        <f>IFERROR("("&amp;TEXT(V51/H53,"#,##0円")&amp;"/月)","")</f>
        <v>(348,484円/月)</v>
      </c>
      <c r="W52" s="1013"/>
      <c r="X52" s="1013"/>
      <c r="Y52" s="1013"/>
      <c r="Z52" s="1013"/>
      <c r="AB52" s="151"/>
      <c r="AC52" s="1165" t="str">
        <f>IFERROR("("&amp;TEXT(AC51/AD53,"#,##0円")&amp;"/月)","")</f>
        <v>(405,927円/月)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f>IF(AND(B9&lt;&gt;"処遇加算なし",F15=4),IF(V21="✓",1,IF(V22="✓",2,"")),"")</f>
        <v>2</v>
      </c>
      <c r="AA57" s="245"/>
      <c r="AB57" s="249"/>
      <c r="AC57" s="1015" t="s">
        <v>2203</v>
      </c>
      <c r="AD57" s="1015"/>
      <c r="AE57" s="1015"/>
      <c r="AF57" s="1015"/>
      <c r="AG57" s="1015"/>
      <c r="AH57" s="170">
        <f>IF(AND(F15&lt;&gt;4,F15&lt;&gt;5),0,IF(AT8="○",1,0))</f>
        <v>1</v>
      </c>
      <c r="AI57" s="253"/>
      <c r="AJ57" s="249"/>
      <c r="AK57" s="1015" t="s">
        <v>2203</v>
      </c>
      <c r="AL57" s="1015"/>
      <c r="AM57" s="1015"/>
      <c r="AN57" s="1015"/>
      <c r="AO57" s="1015"/>
      <c r="AP57" s="170">
        <f>IF(AT8="○",1,0)</f>
        <v>1</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2204</v>
      </c>
      <c r="V58" s="1139"/>
      <c r="W58" s="1139"/>
      <c r="X58" s="1139"/>
      <c r="Y58" s="1139"/>
      <c r="Z58" s="527">
        <f>IF(AND(B9&lt;&gt;"処遇加算なし",F15=4),IF(V24="✓",1,IF(V25="✓",2,IF(V26="✓",3,""))),"")</f>
        <v>2</v>
      </c>
      <c r="AA58" s="245"/>
      <c r="AB58" s="249"/>
      <c r="AC58" s="1139" t="s">
        <v>2204</v>
      </c>
      <c r="AD58" s="1139"/>
      <c r="AE58" s="1139"/>
      <c r="AF58" s="1139"/>
      <c r="AG58" s="1139"/>
      <c r="AH58" s="170">
        <v>2</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2205</v>
      </c>
      <c r="V59" s="1139"/>
      <c r="W59" s="1139"/>
      <c r="X59" s="1139"/>
      <c r="Y59" s="1139"/>
      <c r="Z59" s="527">
        <f>IF(AND(B9&lt;&gt;"処遇加算なし",F15=4),IF(V28="✓",1,IF(V29="✓",2,IF(V30="✓",3,""))),"")</f>
        <v>2</v>
      </c>
      <c r="AA59" s="245"/>
      <c r="AB59" s="249"/>
      <c r="AC59" s="1139" t="s">
        <v>2205</v>
      </c>
      <c r="AD59" s="1139"/>
      <c r="AE59" s="1139"/>
      <c r="AF59" s="1139"/>
      <c r="AG59" s="1139"/>
      <c r="AH59" s="170">
        <v>1</v>
      </c>
      <c r="AI59" s="253"/>
      <c r="AJ59" s="249"/>
      <c r="AK59" s="1139" t="s">
        <v>2205</v>
      </c>
      <c r="AL59" s="1139"/>
      <c r="AM59" s="1139"/>
      <c r="AN59" s="1139"/>
      <c r="AO59" s="1139"/>
      <c r="AP59" s="170">
        <f>IF(AV8="○",1,3)</f>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2206</v>
      </c>
      <c r="V60" s="1139"/>
      <c r="W60" s="1139"/>
      <c r="X60" s="1139"/>
      <c r="Y60" s="1139"/>
      <c r="Z60" s="527">
        <f>IF(AND(B9&lt;&gt;"処遇加算なし",F15=4),IF(V32="✓",1,IF(V33="✓",2,"")),"")</f>
        <v>2</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2207</v>
      </c>
      <c r="V61" s="1139"/>
      <c r="W61" s="1139"/>
      <c r="X61" s="1139"/>
      <c r="Y61" s="1139"/>
      <c r="Z61" s="527">
        <f>IF(AND(B9&lt;&gt;"処遇加算なし",F15=4),IF(V36="✓",1,IF(V37="✓",2,"")),"")</f>
        <v>2</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2208</v>
      </c>
      <c r="V62" s="1139"/>
      <c r="W62" s="1139"/>
      <c r="X62" s="1139"/>
      <c r="Y62" s="1139"/>
      <c r="Z62" s="527">
        <f>IF(AND(B9&lt;&gt;"処遇加算なし",F15=4),IF(V40="✓",1,IF(V41="✓",2,"")),"")</f>
        <v>2</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2209</v>
      </c>
      <c r="V63" s="1015"/>
      <c r="W63" s="1015"/>
      <c r="X63" s="1015"/>
      <c r="Y63" s="1015"/>
      <c r="Z63" s="527">
        <f>IF(AND(B9&lt;&gt;"処遇加算なし",F15=4),IF(V44="✓",1,IF(V45="✓",2,"")),"")</f>
        <v>2</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HY1VGQToAHtMgWAt0YsBx3EClQ1IEF64brbi8zEeCJbI0W0JwObL1c+IDQxBrvRIBv51wUdNxSvemlvuupWiw==" saltValue="gPNB2kouWCopioyLP8lRk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2425</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2FikGLKH+cthsJY/JRbXKLodtCXZPxK9SDnAc4T7k0rX1lAh6k6094IWI1Lf2bJ0T+i1w3EtdVEMBAktA8ov9w==" saltValue="nqknpqTeHd7WczHQUnACU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2426</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pstXu+aGBoHXm18b7RVtR2diiupPqVlAJ1jADM2hRN0UtroCnOmFM6TbiXLjGS5v9kbF4Vz9oqkvwiN6vvKWw==" saltValue="oRRIg7e+0+49ulzmWYv25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2427</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OKJSNhnWsEYsciyfZhhdCJN9cSHoLL/n3LCLksa7jP9SPRF+GeLPQuvKA3T1frKW5Zyun23cUOu6FvBveb7Q==" saltValue="PijVX0yzjfem0ktuypEVv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2428</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TMCmzAvW4D6dqJuNSW0rcP3+sN5BYWC3dnCJ5Ynz4y1XbDVdg1zCMfGfQAoD+8S9JJF+nipe4m4ZlNlTTwQtbw==" saltValue="noHF8MX2KZRpaDQERh11k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石井　美紗貴</cp:lastModifiedBy>
  <cp:lastPrinted>2024-03-27T23:40:36Z</cp:lastPrinted>
  <dcterms:created xsi:type="dcterms:W3CDTF">2015-06-05T18:19:34Z</dcterms:created>
  <dcterms:modified xsi:type="dcterms:W3CDTF">2024-03-27T23:41:50Z</dcterms:modified>
</cp:coreProperties>
</file>